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9"/>
  <workbookPr/>
  <mc:AlternateContent xmlns:mc="http://schemas.openxmlformats.org/markup-compatibility/2006">
    <mc:Choice Requires="x15">
      <x15ac:absPath xmlns:x15ac="http://schemas.microsoft.com/office/spreadsheetml/2010/11/ac" url="/Users/josephmbedzi/Downloads/"/>
    </mc:Choice>
  </mc:AlternateContent>
  <xr:revisionPtr revIDLastSave="0" documentId="8_{13867FDD-F126-0D4F-8AD8-9273CFDFBD30}" xr6:coauthVersionLast="47" xr6:coauthVersionMax="47" xr10:uidLastSave="{00000000-0000-0000-0000-000000000000}"/>
  <bookViews>
    <workbookView xWindow="0" yWindow="500" windowWidth="19420" windowHeight="11500" tabRatio="1000" xr2:uid="{00000000-000D-0000-FFFF-FFFF00000000}"/>
  </bookViews>
  <sheets>
    <sheet name="Forecast" sheetId="22" r:id="rId1"/>
    <sheet name="Cash Flow" sheetId="2" r:id="rId2"/>
    <sheet name="Sales" sheetId="19" r:id="rId3"/>
    <sheet name="Gross Profit" sheetId="8" state="hidden" r:id="rId4"/>
    <sheet name="Cost of Sales" sheetId="7" r:id="rId5"/>
    <sheet name="Salaries &amp; Consultants" sheetId="11" r:id="rId6"/>
    <sheet name="Overheads" sheetId="12" r:id="rId7"/>
    <sheet name="FNB LOAN" sheetId="21" r:id="rId8"/>
  </sheets>
  <definedNames>
    <definedName name="Beginning_Balance" localSheetId="4">-FV(Interest_Rate/12,'Cost of Sales'!Payment_Number-1,-'Cost of Sales'!Monthly_Payment,Loan_Amount)</definedName>
    <definedName name="Beginning_Balance" localSheetId="7">-FV(Interest_Rate/12,'FNB LOAN'!Payment_Number-1,-'FNB LOAN'!Monthly_Payment,Loan_Amount)</definedName>
    <definedName name="Beginning_Balance" localSheetId="0">-FV(Interest_Rate/12,Forecast!Payment_Number-1,-Forecast!Monthly_Payment,Loan_Amount)</definedName>
    <definedName name="Beginning_Balance" localSheetId="6">-FV(Interest_Rate/12,Overheads!Payment_Number-1,-Overheads!Monthly_Payment,Loan_Amount)</definedName>
    <definedName name="Beginning_Balance" localSheetId="5">-FV(Interest_Rate/12,'Salaries &amp; Consultants'!Payment_Number-1,-'Salaries &amp; Consultants'!Monthly_Payment,Loan_Amount)</definedName>
    <definedName name="Beginning_Balance" localSheetId="2">-FV(Interest_Rate/12,Sales!Payment_Number-1,-Sales!Monthly_Payment,Loan_Amount)</definedName>
    <definedName name="Beginning_Balance">-FV(Interest_Rate/12,Payment_Number-1,-Monthly_Payment,Loan_Amount)</definedName>
    <definedName name="Ending_Balance" localSheetId="4">-FV(Interest_Rate/12,'Cost of Sales'!Payment_Number,-'Cost of Sales'!Monthly_Payment,Loan_Amount)</definedName>
    <definedName name="Ending_Balance" localSheetId="7">-FV(Interest_Rate/12,'FNB LOAN'!Payment_Number,-'FNB LOAN'!Monthly_Payment,Loan_Amount)</definedName>
    <definedName name="Ending_Balance" localSheetId="0">-FV(Interest_Rate/12,Forecast!Payment_Number,-Forecast!Monthly_Payment,Loan_Amount)</definedName>
    <definedName name="Ending_Balance" localSheetId="6">-FV(Interest_Rate/12,Overheads!Payment_Number,-Overheads!Monthly_Payment,Loan_Amount)</definedName>
    <definedName name="Ending_Balance" localSheetId="5">-FV(Interest_Rate/12,'Salaries &amp; Consultants'!Payment_Number,-'Salaries &amp; Consultants'!Monthly_Payment,Loan_Amount)</definedName>
    <definedName name="Ending_Balance" localSheetId="2">-FV(Interest_Rate/12,Sales!Payment_Number,-Sales!Monthly_Payment,Loan_Amount)</definedName>
    <definedName name="Ending_Balance">-FV(Interest_Rate/12,Payment_Number,-Monthly_Payment,Loan_Amount)</definedName>
    <definedName name="Interest" localSheetId="4">-IPMT(Interest_Rate/12,'Cost of Sales'!Payment_Number,Number_of_Payments,Loan_Amount)</definedName>
    <definedName name="Interest" localSheetId="7">-IPMT(Interest_Rate/12,'FNB LOAN'!Payment_Number,Number_of_Payments,Loan_Amount)</definedName>
    <definedName name="Interest" localSheetId="0">-IPMT(Interest_Rate/12,Forecast!Payment_Number,Number_of_Payments,Loan_Amount)</definedName>
    <definedName name="Interest" localSheetId="6">-IPMT(Interest_Rate/12,Overheads!Payment_Number,Number_of_Payments,Loan_Amount)</definedName>
    <definedName name="Interest" localSheetId="5">-IPMT(Interest_Rate/12,'Salaries &amp; Consultants'!Payment_Number,Number_of_Payments,Loan_Amount)</definedName>
    <definedName name="Interest" localSheetId="2">-IPMT(Interest_Rate/12,Sales!Payment_Number,Number_of_Payments,Loan_Amount)</definedName>
    <definedName name="Interest">-IPMT(Interest_Rate/12,Payment_Number,Number_of_Payments,Loan_Amount)</definedName>
    <definedName name="Last_Row" localSheetId="4">IF('Cost of Sales'!Values_Entered,Header_Row+Number_of_Payments,Header_Row)</definedName>
    <definedName name="Last_Row" localSheetId="7">IF('FNB LOAN'!Values_Entered,Header_Row+Number_of_Payments,Header_Row)</definedName>
    <definedName name="Last_Row" localSheetId="0">IF(Forecast!Values_Entered,Header_Row+Number_of_Payments,Header_Row)</definedName>
    <definedName name="Last_Row" localSheetId="6">IF(Overheads!Values_Entered,Header_Row+Number_of_Payments,Header_Row)</definedName>
    <definedName name="Last_Row" localSheetId="5">IF('Salaries &amp; Consultants'!Values_Entered,Header_Row+Number_of_Payments,Header_Row)</definedName>
    <definedName name="Last_Row" localSheetId="2">IF(Sales!Values_Entered,Header_Row+Number_of_Payments,Header_Row)</definedName>
    <definedName name="Last_Row">IF(Values_Entered,Header_Row+Number_of_Payments,Header_Row)</definedName>
    <definedName name="Loan_Not_Paid" localSheetId="4">IF('Cost of Sales'!Payment_Number&lt;=Number_of_Payments,1,0)</definedName>
    <definedName name="Loan_Not_Paid" localSheetId="7">IF('FNB LOAN'!Payment_Number&lt;=Number_of_Payments,1,0)</definedName>
    <definedName name="Loan_Not_Paid" localSheetId="0">IF(Forecast!Payment_Number&lt;=Number_of_Payments,1,0)</definedName>
    <definedName name="Loan_Not_Paid" localSheetId="6">IF(Overheads!Payment_Number&lt;=Number_of_Payments,1,0)</definedName>
    <definedName name="Loan_Not_Paid" localSheetId="5">IF('Salaries &amp; Consultants'!Payment_Number&lt;=Number_of_Payments,1,0)</definedName>
    <definedName name="Loan_Not_Paid" localSheetId="2">IF(Sales!Payment_Number&lt;=Number_of_Payments,1,0)</definedName>
    <definedName name="Loan_Not_Paid">IF(Payment_Number&lt;=Number_of_Payments,1,0)</definedName>
    <definedName name="Monthly_Payment" localSheetId="4">-PMT(Interest_Rate/12,Number_of_Payments,Loan_Amount)</definedName>
    <definedName name="Monthly_Payment" localSheetId="7">-PMT(Interest_Rate/12,Number_of_Payments,Loan_Amount)</definedName>
    <definedName name="Monthly_Payment" localSheetId="0">-PMT(Interest_Rate/12,Number_of_Payments,Loan_Amount)</definedName>
    <definedName name="Monthly_Payment" localSheetId="6">-PMT(Interest_Rate/12,Number_of_Payments,Loan_Amount)</definedName>
    <definedName name="Monthly_Payment" localSheetId="5">-PMT(Interest_Rate/12,Number_of_Payments,Loan_Amount)</definedName>
    <definedName name="Monthly_Payment" localSheetId="2">-PMT(Interest_Rate/12,Number_of_Payments,Loan_Amount)</definedName>
    <definedName name="Monthly_Payment">-PMT(Interest_Rate/12,Number_of_Payments,Loan_Amount)</definedName>
    <definedName name="Payment_Date" localSheetId="4">DATE(YEAR(Loan_Start),MONTH(Loan_Start)+'Cost of Sales'!Payment_Number,DAY(Loan_Start))</definedName>
    <definedName name="Payment_Date" localSheetId="7">DATE(YEAR(Loan_Start),MONTH(Loan_Start)+'FNB LOAN'!Payment_Number,DAY(Loan_Start))</definedName>
    <definedName name="Payment_Date" localSheetId="0">DATE(YEAR(Loan_Start),MONTH(Loan_Start)+Forecast!Payment_Number,DAY(Loan_Start))</definedName>
    <definedName name="Payment_Date" localSheetId="6">DATE(YEAR(Loan_Start),MONTH(Loan_Start)+Overheads!Payment_Number,DAY(Loan_Start))</definedName>
    <definedName name="Payment_Date" localSheetId="5">DATE(YEAR(Loan_Start),MONTH(Loan_Start)+'Salaries &amp; Consultants'!Payment_Number,DAY(Loan_Start))</definedName>
    <definedName name="Payment_Date" localSheetId="2">DATE(YEAR(Loan_Start),MONTH(Loan_Start)+Sales!Payment_Number,DAY(Loan_Start))</definedName>
    <definedName name="Payment_Date">DATE(YEAR(Loan_Start),MONTH(Loan_Start)+Payment_Number,DAY(Loan_Start))</definedName>
    <definedName name="Payment_Number" localSheetId="4">ROW()-Header_Row</definedName>
    <definedName name="Payment_Number" localSheetId="7">ROW()-Header_Row</definedName>
    <definedName name="Payment_Number" localSheetId="0">ROW()-Header_Row</definedName>
    <definedName name="Payment_Number" localSheetId="6">ROW()-Header_Row</definedName>
    <definedName name="Payment_Number" localSheetId="5">ROW()-Header_Row</definedName>
    <definedName name="Payment_Number" localSheetId="2">ROW()-Header_Row</definedName>
    <definedName name="Payment_Number">ROW()-Header_Row</definedName>
    <definedName name="Principal" localSheetId="4">-PPMT(Interest_Rate/12,'Cost of Sales'!Payment_Number,Number_of_Payments,Loan_Amount)</definedName>
    <definedName name="Principal" localSheetId="7">-PPMT(Interest_Rate/12,'FNB LOAN'!Payment_Number,Number_of_Payments,Loan_Amount)</definedName>
    <definedName name="Principal" localSheetId="0">-PPMT(Interest_Rate/12,Forecast!Payment_Number,Number_of_Payments,Loan_Amount)</definedName>
    <definedName name="Principal" localSheetId="6">-PPMT(Interest_Rate/12,Overheads!Payment_Number,Number_of_Payments,Loan_Amount)</definedName>
    <definedName name="Principal" localSheetId="5">-PPMT(Interest_Rate/12,'Salaries &amp; Consultants'!Payment_Number,Number_of_Payments,Loan_Amount)</definedName>
    <definedName name="Principal" localSheetId="2">-PPMT(Interest_Rate/12,Sales!Payment_Number,Number_of_Payments,Loan_Amount)</definedName>
    <definedName name="Principal">-PPMT(Interest_Rate/12,Payment_Number,Number_of_Payments,Loan_Amount)</definedName>
    <definedName name="Values_Entered" localSheetId="4">IF(Loan_Amount*Interest_Rate*Loan_Years*Loan_Start&gt;0,1,0)</definedName>
    <definedName name="Values_Entered" localSheetId="7">IF(Loan_Amount*Interest_Rate*Loan_Years*Loan_Start&gt;0,1,0)</definedName>
    <definedName name="Values_Entered" localSheetId="0">IF(Loan_Amount*Interest_Rate*Loan_Years*Loan_Start&gt;0,1,0)</definedName>
    <definedName name="Values_Entered" localSheetId="6">IF(Loan_Amount*Interest_Rate*Loan_Years*Loan_Start&gt;0,1,0)</definedName>
    <definedName name="Values_Entered" localSheetId="5">IF(Loan_Amount*Interest_Rate*Loan_Years*Loan_Start&gt;0,1,0)</definedName>
    <definedName name="Values_Entered" localSheetId="2">IF(Loan_Amount*Interest_Rate*Loan_Years*Loan_Start&gt;0,1,0)</definedName>
    <definedName name="Values_Entered">IF(Loan_Amount*Interest_Rate*Loan_Years*Loan_Start&gt;0,1,0)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2" l="1"/>
  <c r="G22" i="22" s="1"/>
  <c r="G23" i="22" s="1"/>
  <c r="F20" i="22"/>
  <c r="E20" i="22"/>
  <c r="D20" i="22"/>
  <c r="D22" i="22" s="1"/>
  <c r="D23" i="22" s="1"/>
  <c r="C20" i="22"/>
  <c r="C22" i="22" s="1"/>
  <c r="C23" i="22" s="1"/>
  <c r="B20" i="22"/>
  <c r="D9" i="22"/>
  <c r="M8" i="22"/>
  <c r="M9" i="22" s="1"/>
  <c r="L8" i="22"/>
  <c r="L9" i="22" s="1"/>
  <c r="K8" i="22"/>
  <c r="K9" i="22" s="1"/>
  <c r="J8" i="22"/>
  <c r="J9" i="22" s="1"/>
  <c r="I8" i="22"/>
  <c r="I9" i="22" s="1"/>
  <c r="H8" i="22"/>
  <c r="H9" i="22" s="1"/>
  <c r="G8" i="22"/>
  <c r="G9" i="22" s="1"/>
  <c r="F8" i="22"/>
  <c r="F9" i="22" s="1"/>
  <c r="E8" i="22"/>
  <c r="E9" i="22" s="1"/>
  <c r="D8" i="22"/>
  <c r="C8" i="22"/>
  <c r="C9" i="22" s="1"/>
  <c r="B8" i="22"/>
  <c r="B9" i="22" s="1"/>
  <c r="N10" i="22"/>
  <c r="N7" i="22"/>
  <c r="N6" i="22"/>
  <c r="H18" i="22"/>
  <c r="H17" i="22"/>
  <c r="I17" i="22" s="1"/>
  <c r="H16" i="22"/>
  <c r="I16" i="22" s="1"/>
  <c r="H15" i="22"/>
  <c r="H14" i="22"/>
  <c r="I14" i="22" s="1"/>
  <c r="H13" i="22"/>
  <c r="H4" i="11"/>
  <c r="G4" i="11"/>
  <c r="F4" i="11"/>
  <c r="E4" i="11"/>
  <c r="D4" i="11"/>
  <c r="C4" i="11"/>
  <c r="B4" i="11"/>
  <c r="I11" i="7"/>
  <c r="I10" i="7"/>
  <c r="I12" i="7"/>
  <c r="C13" i="7"/>
  <c r="D13" i="7" s="1"/>
  <c r="E13" i="7" s="1"/>
  <c r="F13" i="7" s="1"/>
  <c r="G13" i="7" s="1"/>
  <c r="H13" i="7" s="1"/>
  <c r="I14" i="7"/>
  <c r="I15" i="7"/>
  <c r="C16" i="7"/>
  <c r="D16" i="7"/>
  <c r="E16" i="7"/>
  <c r="F16" i="7"/>
  <c r="G16" i="7"/>
  <c r="H16" i="7"/>
  <c r="C7" i="12"/>
  <c r="D7" i="12" s="1"/>
  <c r="E7" i="12" s="1"/>
  <c r="F7" i="12" s="1"/>
  <c r="G7" i="12" s="1"/>
  <c r="H7" i="12" s="1"/>
  <c r="C6" i="12"/>
  <c r="D6" i="12" s="1"/>
  <c r="E6" i="12" s="1"/>
  <c r="F6" i="12" s="1"/>
  <c r="G6" i="12" s="1"/>
  <c r="H6" i="12" s="1"/>
  <c r="C5" i="12"/>
  <c r="D5" i="12" s="1"/>
  <c r="E5" i="12" s="1"/>
  <c r="F5" i="12" s="1"/>
  <c r="G5" i="12" s="1"/>
  <c r="H5" i="12" s="1"/>
  <c r="C4" i="12"/>
  <c r="D4" i="12" s="1"/>
  <c r="E4" i="12" s="1"/>
  <c r="F4" i="12" s="1"/>
  <c r="G4" i="12" s="1"/>
  <c r="H4" i="12" s="1"/>
  <c r="H20" i="22" l="1"/>
  <c r="H22" i="22" s="1"/>
  <c r="H23" i="22" s="1"/>
  <c r="B22" i="22"/>
  <c r="B23" i="22" s="1"/>
  <c r="F22" i="22"/>
  <c r="F23" i="22" s="1"/>
  <c r="E22" i="22"/>
  <c r="E23" i="22" s="1"/>
  <c r="N12" i="22"/>
  <c r="N8" i="22"/>
  <c r="J14" i="22"/>
  <c r="K14" i="22" s="1"/>
  <c r="L14" i="22" s="1"/>
  <c r="M14" i="22" s="1"/>
  <c r="J17" i="22"/>
  <c r="K17" i="22" s="1"/>
  <c r="L17" i="22" s="1"/>
  <c r="M17" i="22" s="1"/>
  <c r="J16" i="22"/>
  <c r="K16" i="22" s="1"/>
  <c r="L16" i="22" s="1"/>
  <c r="M16" i="22" s="1"/>
  <c r="I15" i="22"/>
  <c r="J15" i="22" s="1"/>
  <c r="K15" i="22" s="1"/>
  <c r="L15" i="22" s="1"/>
  <c r="M15" i="22" s="1"/>
  <c r="I18" i="22"/>
  <c r="J18" i="22" s="1"/>
  <c r="K18" i="22" s="1"/>
  <c r="L18" i="22" s="1"/>
  <c r="M18" i="22" s="1"/>
  <c r="I13" i="22"/>
  <c r="I16" i="7"/>
  <c r="I13" i="7"/>
  <c r="N9" i="22" l="1"/>
  <c r="I20" i="22"/>
  <c r="I22" i="22" s="1"/>
  <c r="I23" i="22" s="1"/>
  <c r="N16" i="22"/>
  <c r="N15" i="22"/>
  <c r="N17" i="22"/>
  <c r="N14" i="22"/>
  <c r="N18" i="22"/>
  <c r="J13" i="22"/>
  <c r="J20" i="22" s="1"/>
  <c r="J22" i="22" s="1"/>
  <c r="J23" i="22" s="1"/>
  <c r="I21" i="19"/>
  <c r="H21" i="19"/>
  <c r="G21" i="19"/>
  <c r="F21" i="19"/>
  <c r="E21" i="19"/>
  <c r="I20" i="19"/>
  <c r="H20" i="19"/>
  <c r="G20" i="19"/>
  <c r="F20" i="19"/>
  <c r="E20" i="19"/>
  <c r="D20" i="19"/>
  <c r="I19" i="19"/>
  <c r="H19" i="19"/>
  <c r="G19" i="19"/>
  <c r="F19" i="19"/>
  <c r="E19" i="19"/>
  <c r="D19" i="19"/>
  <c r="C19" i="19"/>
  <c r="C26" i="19" s="1"/>
  <c r="C4" i="2" s="1"/>
  <c r="O26" i="19"/>
  <c r="N26" i="19"/>
  <c r="M26" i="19"/>
  <c r="L26" i="19"/>
  <c r="K26" i="19"/>
  <c r="J26" i="19"/>
  <c r="P25" i="19"/>
  <c r="P24" i="19"/>
  <c r="P23" i="19"/>
  <c r="P22" i="19"/>
  <c r="P18" i="19"/>
  <c r="D15" i="2"/>
  <c r="E15" i="2"/>
  <c r="F15" i="2"/>
  <c r="G15" i="2"/>
  <c r="H15" i="2"/>
  <c r="I15" i="2"/>
  <c r="C15" i="2"/>
  <c r="H6" i="21"/>
  <c r="G6" i="21"/>
  <c r="F6" i="21"/>
  <c r="E6" i="21"/>
  <c r="D6" i="21"/>
  <c r="C6" i="21"/>
  <c r="B6" i="21"/>
  <c r="I5" i="21"/>
  <c r="I4" i="21"/>
  <c r="I3" i="21"/>
  <c r="P20" i="19" l="1"/>
  <c r="F26" i="19"/>
  <c r="F4" i="2" s="1"/>
  <c r="N19" i="22"/>
  <c r="K13" i="22"/>
  <c r="K20" i="22" s="1"/>
  <c r="K22" i="22" s="1"/>
  <c r="K23" i="22" s="1"/>
  <c r="I26" i="19"/>
  <c r="I4" i="2" s="1"/>
  <c r="H26" i="19"/>
  <c r="H4" i="2" s="1"/>
  <c r="P21" i="19"/>
  <c r="E26" i="19"/>
  <c r="E4" i="2" s="1"/>
  <c r="G26" i="19"/>
  <c r="G4" i="2" s="1"/>
  <c r="D26" i="19"/>
  <c r="D4" i="2" s="1"/>
  <c r="P19" i="19"/>
  <c r="J15" i="2"/>
  <c r="I6" i="21"/>
  <c r="L13" i="22" l="1"/>
  <c r="L20" i="22" s="1"/>
  <c r="L22" i="22" s="1"/>
  <c r="L23" i="22" s="1"/>
  <c r="P26" i="19"/>
  <c r="O12" i="19"/>
  <c r="O14" i="19" s="1"/>
  <c r="N12" i="19"/>
  <c r="N14" i="19" s="1"/>
  <c r="M12" i="19"/>
  <c r="M14" i="19" s="1"/>
  <c r="L12" i="19"/>
  <c r="L14" i="19" s="1"/>
  <c r="K12" i="19"/>
  <c r="K14" i="19" s="1"/>
  <c r="J12" i="19"/>
  <c r="J14" i="19" s="1"/>
  <c r="I12" i="19"/>
  <c r="I14" i="19" s="1"/>
  <c r="H12" i="19"/>
  <c r="H14" i="19" s="1"/>
  <c r="G12" i="19"/>
  <c r="G14" i="19" s="1"/>
  <c r="F12" i="19"/>
  <c r="F14" i="19" s="1"/>
  <c r="E12" i="19"/>
  <c r="E14" i="19" s="1"/>
  <c r="D12" i="19"/>
  <c r="D14" i="19" s="1"/>
  <c r="C12" i="19"/>
  <c r="C14" i="19" s="1"/>
  <c r="P11" i="19"/>
  <c r="P10" i="19"/>
  <c r="P9" i="19"/>
  <c r="P8" i="19"/>
  <c r="P7" i="19"/>
  <c r="P5" i="19"/>
  <c r="P4" i="19"/>
  <c r="M13" i="22" l="1"/>
  <c r="M20" i="22" s="1"/>
  <c r="M22" i="22" s="1"/>
  <c r="M23" i="22" s="1"/>
  <c r="E5" i="2"/>
  <c r="C5" i="2"/>
  <c r="D5" i="2"/>
  <c r="F5" i="2"/>
  <c r="G5" i="2"/>
  <c r="H5" i="2"/>
  <c r="I5" i="2"/>
  <c r="P12" i="19"/>
  <c r="N13" i="22" l="1"/>
  <c r="N20" i="22" s="1"/>
  <c r="N22" i="22" s="1"/>
  <c r="N23" i="22" s="1"/>
  <c r="C7" i="2"/>
  <c r="K28" i="8"/>
  <c r="N26" i="8"/>
  <c r="M26" i="8"/>
  <c r="L26" i="8"/>
  <c r="L28" i="8" s="1"/>
  <c r="K26" i="8"/>
  <c r="J26" i="8"/>
  <c r="I26" i="8"/>
  <c r="H26" i="8"/>
  <c r="G26" i="8"/>
  <c r="F26" i="8"/>
  <c r="F28" i="8" s="1"/>
  <c r="E26" i="8"/>
  <c r="D26" i="8"/>
  <c r="C26" i="8"/>
  <c r="B26" i="8"/>
  <c r="N16" i="8"/>
  <c r="N28" i="8" s="1"/>
  <c r="M16" i="8"/>
  <c r="M28" i="8" s="1"/>
  <c r="L16" i="8"/>
  <c r="K16" i="8"/>
  <c r="J16" i="8"/>
  <c r="J28" i="8" s="1"/>
  <c r="I16" i="8"/>
  <c r="I28" i="8" s="1"/>
  <c r="H16" i="8"/>
  <c r="H28" i="8" s="1"/>
  <c r="G16" i="8"/>
  <c r="G28" i="8" s="1"/>
  <c r="F16" i="8"/>
  <c r="E16" i="8"/>
  <c r="E28" i="8" s="1"/>
  <c r="D16" i="8"/>
  <c r="D28" i="8" s="1"/>
  <c r="C16" i="8"/>
  <c r="C28" i="8" s="1"/>
  <c r="B16" i="8"/>
  <c r="B28" i="8" s="1"/>
  <c r="H5" i="11"/>
  <c r="I11" i="2" s="1"/>
  <c r="I9" i="12"/>
  <c r="I8" i="12"/>
  <c r="I7" i="12"/>
  <c r="I6" i="12"/>
  <c r="I5" i="12"/>
  <c r="I4" i="12"/>
  <c r="B11" i="11" l="1"/>
  <c r="I10" i="11"/>
  <c r="D11" i="11"/>
  <c r="C11" i="11"/>
  <c r="E11" i="11" l="1"/>
  <c r="F11" i="11"/>
  <c r="I8" i="11"/>
  <c r="I9" i="11"/>
  <c r="G11" i="11" l="1"/>
  <c r="H11" i="11" l="1"/>
  <c r="J26" i="2"/>
  <c r="J25" i="2"/>
  <c r="J24" i="2"/>
  <c r="J22" i="2"/>
  <c r="J20" i="2"/>
  <c r="J10" i="2"/>
  <c r="J8" i="2"/>
  <c r="J6" i="2"/>
  <c r="J3" i="2"/>
  <c r="I9" i="7"/>
  <c r="I20" i="11" l="1"/>
  <c r="N30" i="8"/>
  <c r="C30" i="8"/>
  <c r="B30" i="8"/>
  <c r="D30" i="8" l="1"/>
  <c r="M30" i="8"/>
  <c r="L30" i="8"/>
  <c r="K30" i="8"/>
  <c r="G30" i="8"/>
  <c r="I30" i="8"/>
  <c r="J30" i="8"/>
  <c r="H30" i="8"/>
  <c r="F30" i="8"/>
  <c r="E30" i="8"/>
  <c r="C5" i="11"/>
  <c r="D11" i="2" s="1"/>
  <c r="C9" i="2" l="1"/>
  <c r="J4" i="2"/>
  <c r="O25" i="8"/>
  <c r="O24" i="8"/>
  <c r="O23" i="8"/>
  <c r="O22" i="8"/>
  <c r="O21" i="8"/>
  <c r="O20" i="8"/>
  <c r="O15" i="8"/>
  <c r="O14" i="8"/>
  <c r="O13" i="8"/>
  <c r="O12" i="8"/>
  <c r="O11" i="8"/>
  <c r="O10" i="8"/>
  <c r="O9" i="8"/>
  <c r="O8" i="8"/>
  <c r="O7" i="8"/>
  <c r="O6" i="8"/>
  <c r="O5" i="8"/>
  <c r="O4" i="8"/>
  <c r="I18" i="11"/>
  <c r="I17" i="11"/>
  <c r="I15" i="11"/>
  <c r="I4" i="11"/>
  <c r="I3" i="11"/>
  <c r="I8" i="7"/>
  <c r="I7" i="7"/>
  <c r="I6" i="7"/>
  <c r="I5" i="7"/>
  <c r="I4" i="7"/>
  <c r="I3" i="7"/>
  <c r="O26" i="8" l="1"/>
  <c r="O16" i="8"/>
  <c r="O28" i="8" s="1"/>
  <c r="I16" i="11"/>
  <c r="I11" i="11" l="1"/>
  <c r="I3" i="12"/>
  <c r="B21" i="11" l="1"/>
  <c r="C12" i="2" s="1"/>
  <c r="B5" i="11"/>
  <c r="C11" i="2" s="1"/>
  <c r="B10" i="12"/>
  <c r="C13" i="2" s="1"/>
  <c r="B12" i="12" l="1"/>
  <c r="B23" i="11"/>
  <c r="J18" i="2" l="1"/>
  <c r="H21" i="11" l="1"/>
  <c r="I12" i="2" s="1"/>
  <c r="G21" i="11"/>
  <c r="H12" i="2" s="1"/>
  <c r="F21" i="11"/>
  <c r="G12" i="2" s="1"/>
  <c r="E21" i="11"/>
  <c r="F12" i="2" s="1"/>
  <c r="D21" i="11"/>
  <c r="E12" i="2" s="1"/>
  <c r="C21" i="11"/>
  <c r="D12" i="2" s="1"/>
  <c r="H10" i="12"/>
  <c r="G10" i="12"/>
  <c r="F10" i="12"/>
  <c r="E10" i="12"/>
  <c r="D10" i="12"/>
  <c r="E13" i="2" s="1"/>
  <c r="C10" i="12"/>
  <c r="D13" i="2" s="1"/>
  <c r="G5" i="11"/>
  <c r="H11" i="2" s="1"/>
  <c r="F5" i="11"/>
  <c r="G11" i="2" s="1"/>
  <c r="E5" i="11"/>
  <c r="F11" i="2" s="1"/>
  <c r="D5" i="11"/>
  <c r="E11" i="2" s="1"/>
  <c r="H17" i="7"/>
  <c r="G17" i="7"/>
  <c r="F17" i="7"/>
  <c r="E17" i="7"/>
  <c r="D17" i="7"/>
  <c r="C17" i="7"/>
  <c r="E14" i="2" l="1"/>
  <c r="H14" i="2"/>
  <c r="D14" i="2"/>
  <c r="F14" i="2"/>
  <c r="I14" i="2"/>
  <c r="G14" i="2"/>
  <c r="H12" i="12"/>
  <c r="I13" i="2"/>
  <c r="G12" i="12"/>
  <c r="H13" i="2"/>
  <c r="F12" i="12"/>
  <c r="G13" i="2"/>
  <c r="E12" i="12"/>
  <c r="F13" i="2"/>
  <c r="D12" i="12"/>
  <c r="J11" i="2"/>
  <c r="D23" i="11"/>
  <c r="F23" i="11"/>
  <c r="H23" i="11"/>
  <c r="I5" i="11"/>
  <c r="I21" i="11"/>
  <c r="I10" i="12"/>
  <c r="E7" i="2"/>
  <c r="F7" i="2"/>
  <c r="E23" i="11"/>
  <c r="C12" i="12"/>
  <c r="G23" i="11"/>
  <c r="C23" i="11"/>
  <c r="I7" i="2"/>
  <c r="H7" i="2"/>
  <c r="D17" i="2" l="1"/>
  <c r="D16" i="2"/>
  <c r="E17" i="2"/>
  <c r="E16" i="2"/>
  <c r="G17" i="2"/>
  <c r="G16" i="2"/>
  <c r="H17" i="2"/>
  <c r="H16" i="2"/>
  <c r="F17" i="2"/>
  <c r="F16" i="2"/>
  <c r="I17" i="2"/>
  <c r="I16" i="2"/>
  <c r="J13" i="2"/>
  <c r="J12" i="2"/>
  <c r="G7" i="2"/>
  <c r="G19" i="2" l="1"/>
  <c r="G21" i="2" s="1"/>
  <c r="D19" i="2"/>
  <c r="I19" i="2"/>
  <c r="I21" i="2" s="1"/>
  <c r="E19" i="2"/>
  <c r="E21" i="2" s="1"/>
  <c r="D7" i="2"/>
  <c r="J5" i="2"/>
  <c r="F19" i="2"/>
  <c r="F21" i="2" s="1"/>
  <c r="H19" i="2"/>
  <c r="H21" i="2" s="1"/>
  <c r="J7" i="2" l="1"/>
  <c r="D21" i="2"/>
  <c r="B17" i="7" l="1"/>
  <c r="I17" i="7" s="1"/>
  <c r="C14" i="2" l="1"/>
  <c r="J14" i="2" s="1"/>
  <c r="C17" i="2" l="1"/>
  <c r="J17" i="2" s="1"/>
  <c r="C16" i="2"/>
  <c r="J16" i="2" l="1"/>
  <c r="C19" i="2"/>
  <c r="J19" i="2" l="1"/>
  <c r="C23" i="2"/>
  <c r="D2" i="2" s="1"/>
  <c r="D9" i="2" s="1"/>
  <c r="D23" i="2" s="1"/>
  <c r="E2" i="2" s="1"/>
  <c r="C21" i="2"/>
  <c r="J21" i="2" s="1"/>
  <c r="E9" i="2" l="1"/>
  <c r="E23" i="2" l="1"/>
  <c r="F2" i="2" s="1"/>
  <c r="F9" i="2" l="1"/>
  <c r="F23" i="2" l="1"/>
  <c r="G2" i="2" s="1"/>
  <c r="G9" i="2" l="1"/>
  <c r="G23" i="2" l="1"/>
  <c r="H2" i="2" s="1"/>
  <c r="H9" i="2" l="1"/>
  <c r="H23" i="2" l="1"/>
  <c r="I2" i="2" s="1"/>
  <c r="I9" i="2" l="1"/>
  <c r="J2" i="2"/>
  <c r="I23" i="2" l="1"/>
  <c r="J9" i="2"/>
</calcChain>
</file>

<file path=xl/sharedStrings.xml><?xml version="1.0" encoding="utf-8"?>
<sst xmlns="http://schemas.openxmlformats.org/spreadsheetml/2006/main" count="110" uniqueCount="72">
  <si>
    <t>Total</t>
  </si>
  <si>
    <t>Salaries</t>
  </si>
  <si>
    <t>Tab Colour</t>
  </si>
  <si>
    <t>Opening Bank Balance</t>
  </si>
  <si>
    <t>VAT Output</t>
  </si>
  <si>
    <t>Total Income</t>
  </si>
  <si>
    <t>Cash Balance</t>
  </si>
  <si>
    <t>Gross Salaries</t>
  </si>
  <si>
    <t>Consultant</t>
  </si>
  <si>
    <t>Overheads</t>
  </si>
  <si>
    <t>VAT Input</t>
  </si>
  <si>
    <t>Deferred VAT</t>
  </si>
  <si>
    <t>Total Payments</t>
  </si>
  <si>
    <t>Monthly (Surplus)/Shortfall</t>
  </si>
  <si>
    <t>NB Notes</t>
  </si>
  <si>
    <t>No Brackets</t>
  </si>
  <si>
    <t>Positive Cash/Income</t>
  </si>
  <si>
    <t>( Brackets)</t>
  </si>
  <si>
    <t>Negative Cash/Payments</t>
  </si>
  <si>
    <t>Cashflow Projections for:</t>
  </si>
  <si>
    <t xml:space="preserve">Consultant No VAT </t>
  </si>
  <si>
    <t>Consultant VAT Registered</t>
  </si>
  <si>
    <t>Creditors</t>
  </si>
  <si>
    <t>Sales</t>
  </si>
  <si>
    <t>Cost of Sales</t>
  </si>
  <si>
    <t>Total Gross Profit</t>
  </si>
  <si>
    <t>GP %</t>
  </si>
  <si>
    <t xml:space="preserve">Consultatnts </t>
  </si>
  <si>
    <t>FNB LOAN</t>
  </si>
  <si>
    <t>VAT Payment</t>
  </si>
  <si>
    <t xml:space="preserve">Salaries </t>
  </si>
  <si>
    <t>Supplier 1</t>
  </si>
  <si>
    <t xml:space="preserve">Supplier 2 </t>
  </si>
  <si>
    <t>Supplier 3</t>
  </si>
  <si>
    <t>Supplier 4</t>
  </si>
  <si>
    <t>Supplier 5</t>
  </si>
  <si>
    <t>Supplier 6</t>
  </si>
  <si>
    <t>Supplier 7</t>
  </si>
  <si>
    <t>Supplier 8</t>
  </si>
  <si>
    <t>Supplier 9</t>
  </si>
  <si>
    <t>Supplier 10</t>
  </si>
  <si>
    <t>Supplier 11</t>
  </si>
  <si>
    <t>Month 1</t>
  </si>
  <si>
    <t>Month 2</t>
  </si>
  <si>
    <t>Month 3</t>
  </si>
  <si>
    <t>Closing Bank Balance</t>
  </si>
  <si>
    <t xml:space="preserve">MARKETING &amp; SOCIAL RESPONSIBILTY      </t>
  </si>
  <si>
    <t xml:space="preserve">INFORMATION TECHNOLOGY                </t>
  </si>
  <si>
    <t xml:space="preserve">RENT &amp; OFFICE EXPENSES                </t>
  </si>
  <si>
    <t xml:space="preserve">TREASURY &amp; RISK                       </t>
  </si>
  <si>
    <t xml:space="preserve">TRAVEL &amp; TRANSPORT                    </t>
  </si>
  <si>
    <t>Supplier 12</t>
  </si>
  <si>
    <t>Collections</t>
  </si>
  <si>
    <t>Month 1 Collection</t>
  </si>
  <si>
    <t>Month 2 Collections</t>
  </si>
  <si>
    <t>Month 3 Collection</t>
  </si>
  <si>
    <t>SALES</t>
  </si>
  <si>
    <t>GROSS PROFIT</t>
  </si>
  <si>
    <t>SALARIES &amp; CONSULTANTS</t>
  </si>
  <si>
    <t>GP%</t>
  </si>
  <si>
    <t>Forecast</t>
  </si>
  <si>
    <t>TOTAL</t>
  </si>
  <si>
    <t>TOTAL EXPENSES</t>
  </si>
  <si>
    <t>NET PROFIT BEFORE TAX</t>
  </si>
  <si>
    <t>ACTUALS</t>
  </si>
  <si>
    <t>FORECAST</t>
  </si>
  <si>
    <t>NET PROFIT %</t>
  </si>
  <si>
    <t>Loan</t>
  </si>
  <si>
    <t>Actual</t>
  </si>
  <si>
    <t>COST OF SALES</t>
  </si>
  <si>
    <t>DEPRECIATOIN &amp; PROVISIONS</t>
  </si>
  <si>
    <t>CONSULTING &amp; PROFESSIONAL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</si>
</sst>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mmm\ yy"/>
    <numFmt numFmtId="167" formatCode="_ [$R-1C09]\ * #,##0.00_ ;_ [$R-1C09]\ * \-#,##0.00_ ;_ [$R-1C09]\ * &quot;-&quot;??_ ;_ @_ "/>
    <numFmt numFmtId="168" formatCode="_ &quot;R&quot;\ * #,##0.00_ ;_ &quot;R&quot;\ * \-#,##0.00_ ;_ &quot;R&quot;\ * &quot;-&quot;??_ ;_ @_ "/>
    <numFmt numFmtId="169" formatCode="#,##0_);\-#,##0_;"/>
    <numFmt numFmtId="170" formatCode="_ * #,##0.00_ ;_ * \-#,##0.00_ ;_ * &quot;-&quot;??_ ;_ @_ "/>
    <numFmt numFmtId="171" formatCode="_-* #,##0_-;\-* #,##0_-;_-* &quot;-&quot;??_-;_-@_-"/>
    <numFmt numFmtId="172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rgb="FFC00000"/>
      <name val="Arial"/>
      <family val="2"/>
    </font>
    <font>
      <sz val="8"/>
      <color rgb="FFFF0000"/>
      <name val="Arial"/>
      <family val="2"/>
    </font>
    <font>
      <b/>
      <sz val="8"/>
      <color theme="4"/>
      <name val="Arial"/>
      <family val="2"/>
    </font>
    <font>
      <b/>
      <sz val="8"/>
      <color rgb="FFC00000"/>
      <name val="Arial"/>
      <family val="2"/>
    </font>
    <font>
      <sz val="11"/>
      <color indexed="8"/>
      <name val="Century Gothic"/>
      <family val="1"/>
    </font>
    <font>
      <sz val="9"/>
      <color indexed="8"/>
      <name val="Century Gothic"/>
      <family val="1"/>
    </font>
    <font>
      <b/>
      <sz val="11"/>
      <color indexed="8"/>
      <name val="Century Gothic"/>
      <family val="1"/>
    </font>
    <font>
      <b/>
      <sz val="9"/>
      <color indexed="8"/>
      <name val="Century Gothic"/>
      <family val="1"/>
    </font>
    <font>
      <b/>
      <sz val="11"/>
      <color theme="1"/>
      <name val="Century Gothic"/>
      <family val="1"/>
    </font>
    <font>
      <sz val="11"/>
      <color theme="1"/>
      <name val="Century Gothic"/>
      <family val="1"/>
    </font>
    <font>
      <b/>
      <sz val="10"/>
      <color indexed="56"/>
      <name val="Century Gothic"/>
      <family val="1"/>
    </font>
    <font>
      <b/>
      <sz val="11"/>
      <color theme="8"/>
      <name val="Century Gothic"/>
      <family val="1"/>
    </font>
    <font>
      <b/>
      <sz val="11"/>
      <color rgb="FFFF0000"/>
      <name val="Century Gothic"/>
      <family val="1"/>
    </font>
    <font>
      <b/>
      <sz val="9"/>
      <color indexed="8"/>
      <name val="Century Gothic"/>
      <family val="2"/>
    </font>
    <font>
      <b/>
      <sz val="11"/>
      <color indexed="8"/>
      <name val="Century Gothic"/>
      <family val="2"/>
    </font>
    <font>
      <sz val="8"/>
      <color rgb="FFFF0000"/>
      <name val="Arial"/>
      <family val="2"/>
    </font>
    <font>
      <sz val="9"/>
      <color rgb="FFFF0000"/>
      <name val="Century Gothic"/>
      <family val="1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/>
      <diagonal/>
    </border>
    <border>
      <left/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4"/>
      </right>
      <top style="thin">
        <color indexed="63"/>
      </top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7" fontId="1" fillId="0" borderId="0"/>
    <xf numFmtId="169" fontId="1" fillId="0" borderId="0" applyFill="0" applyBorder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2" fillId="0" borderId="5" applyNumberFormat="0" applyFill="0" applyAlignment="0" applyProtection="0"/>
    <xf numFmtId="0" fontId="5" fillId="0" borderId="0"/>
    <xf numFmtId="9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7" fillId="0" borderId="0" xfId="11" applyFont="1"/>
    <xf numFmtId="0" fontId="6" fillId="3" borderId="12" xfId="11" applyFont="1" applyFill="1" applyBorder="1" applyAlignment="1">
      <alignment horizontal="center"/>
    </xf>
    <xf numFmtId="17" fontId="6" fillId="0" borderId="9" xfId="11" quotePrefix="1" applyNumberFormat="1" applyFont="1" applyBorder="1" applyAlignment="1">
      <alignment horizontal="center"/>
    </xf>
    <xf numFmtId="0" fontId="8" fillId="0" borderId="0" xfId="11" applyFont="1"/>
    <xf numFmtId="0" fontId="6" fillId="3" borderId="12" xfId="11" applyFont="1" applyFill="1" applyBorder="1"/>
    <xf numFmtId="3" fontId="7" fillId="0" borderId="0" xfId="11" applyNumberFormat="1" applyFont="1"/>
    <xf numFmtId="0" fontId="6" fillId="0" borderId="0" xfId="11" applyFont="1"/>
    <xf numFmtId="41" fontId="7" fillId="0" borderId="13" xfId="11" applyNumberFormat="1" applyFont="1" applyBorder="1"/>
    <xf numFmtId="17" fontId="6" fillId="0" borderId="15" xfId="11" quotePrefix="1" applyNumberFormat="1" applyFont="1" applyBorder="1" applyAlignment="1">
      <alignment horizontal="center"/>
    </xf>
    <xf numFmtId="41" fontId="6" fillId="0" borderId="16" xfId="11" applyNumberFormat="1" applyFont="1" applyBorder="1"/>
    <xf numFmtId="41" fontId="10" fillId="0" borderId="16" xfId="11" applyNumberFormat="1" applyFont="1" applyBorder="1"/>
    <xf numFmtId="41" fontId="11" fillId="0" borderId="16" xfId="11" applyNumberFormat="1" applyFont="1" applyBorder="1"/>
    <xf numFmtId="41" fontId="6" fillId="0" borderId="11" xfId="11" applyNumberFormat="1" applyFont="1" applyBorder="1"/>
    <xf numFmtId="167" fontId="12" fillId="4" borderId="4" xfId="2" applyFont="1" applyFill="1" applyBorder="1" applyAlignment="1">
      <alignment vertical="center"/>
    </xf>
    <xf numFmtId="164" fontId="12" fillId="4" borderId="0" xfId="2" applyNumberFormat="1" applyFont="1" applyFill="1" applyAlignment="1">
      <alignment vertical="center"/>
    </xf>
    <xf numFmtId="167" fontId="12" fillId="4" borderId="0" xfId="2" applyFont="1" applyFill="1" applyAlignment="1">
      <alignment vertical="center"/>
    </xf>
    <xf numFmtId="167" fontId="13" fillId="0" borderId="0" xfId="2" applyFont="1"/>
    <xf numFmtId="167" fontId="12" fillId="4" borderId="7" xfId="2" applyFont="1" applyFill="1" applyBorder="1"/>
    <xf numFmtId="41" fontId="12" fillId="4" borderId="6" xfId="2" applyNumberFormat="1" applyFont="1" applyFill="1" applyBorder="1"/>
    <xf numFmtId="41" fontId="12" fillId="4" borderId="8" xfId="2" applyNumberFormat="1" applyFont="1" applyFill="1" applyBorder="1"/>
    <xf numFmtId="41" fontId="12" fillId="2" borderId="6" xfId="1" applyNumberFormat="1" applyFont="1" applyFill="1" applyBorder="1"/>
    <xf numFmtId="167" fontId="14" fillId="4" borderId="12" xfId="2" applyFont="1" applyFill="1" applyBorder="1"/>
    <xf numFmtId="41" fontId="14" fillId="4" borderId="9" xfId="2" applyNumberFormat="1" applyFont="1" applyFill="1" applyBorder="1"/>
    <xf numFmtId="41" fontId="14" fillId="2" borderId="14" xfId="1" applyNumberFormat="1" applyFont="1" applyFill="1" applyBorder="1"/>
    <xf numFmtId="167" fontId="12" fillId="5" borderId="0" xfId="2" applyFont="1" applyFill="1"/>
    <xf numFmtId="41" fontId="12" fillId="5" borderId="0" xfId="2" applyNumberFormat="1" applyFont="1" applyFill="1"/>
    <xf numFmtId="41" fontId="12" fillId="5" borderId="10" xfId="1" applyNumberFormat="1" applyFont="1" applyFill="1" applyBorder="1"/>
    <xf numFmtId="167" fontId="15" fillId="0" borderId="0" xfId="2" applyFont="1"/>
    <xf numFmtId="167" fontId="14" fillId="0" borderId="0" xfId="2" applyFont="1"/>
    <xf numFmtId="41" fontId="14" fillId="0" borderId="0" xfId="2" applyNumberFormat="1" applyFont="1"/>
    <xf numFmtId="41" fontId="14" fillId="0" borderId="0" xfId="1" applyNumberFormat="1" applyFont="1"/>
    <xf numFmtId="164" fontId="13" fillId="0" borderId="0" xfId="2" applyNumberFormat="1" applyFont="1"/>
    <xf numFmtId="164" fontId="13" fillId="0" borderId="0" xfId="1" applyFont="1"/>
    <xf numFmtId="0" fontId="16" fillId="0" borderId="0" xfId="0" applyFont="1"/>
    <xf numFmtId="0" fontId="17" fillId="0" borderId="0" xfId="0" applyFont="1"/>
    <xf numFmtId="166" fontId="18" fillId="0" borderId="1" xfId="0" applyNumberFormat="1" applyFont="1" applyBorder="1" applyAlignment="1">
      <alignment horizontal="center" vertical="center"/>
    </xf>
    <xf numFmtId="166" fontId="18" fillId="0" borderId="15" xfId="0" applyNumberFormat="1" applyFont="1" applyBorder="1" applyAlignment="1">
      <alignment horizontal="center" vertical="center"/>
    </xf>
    <xf numFmtId="41" fontId="16" fillId="3" borderId="0" xfId="0" applyNumberFormat="1" applyFont="1" applyFill="1"/>
    <xf numFmtId="41" fontId="16" fillId="3" borderId="0" xfId="1" applyNumberFormat="1" applyFont="1" applyFill="1"/>
    <xf numFmtId="41" fontId="16" fillId="3" borderId="11" xfId="1" applyNumberFormat="1" applyFont="1" applyFill="1" applyBorder="1"/>
    <xf numFmtId="41" fontId="17" fillId="0" borderId="0" xfId="0" applyNumberFormat="1" applyFont="1"/>
    <xf numFmtId="41" fontId="16" fillId="0" borderId="0" xfId="0" applyNumberFormat="1" applyFont="1"/>
    <xf numFmtId="41" fontId="17" fillId="0" borderId="0" xfId="1" applyNumberFormat="1" applyFont="1"/>
    <xf numFmtId="41" fontId="16" fillId="0" borderId="11" xfId="1" applyNumberFormat="1" applyFont="1" applyBorder="1"/>
    <xf numFmtId="0" fontId="16" fillId="0" borderId="0" xfId="0" applyFont="1" applyAlignment="1">
      <alignment horizontal="center"/>
    </xf>
    <xf numFmtId="41" fontId="19" fillId="0" borderId="0" xfId="1" applyNumberFormat="1" applyFont="1"/>
    <xf numFmtId="0" fontId="17" fillId="8" borderId="0" xfId="0" applyFont="1" applyFill="1"/>
    <xf numFmtId="0" fontId="16" fillId="0" borderId="1" xfId="0" applyFont="1" applyBorder="1"/>
    <xf numFmtId="41" fontId="16" fillId="0" borderId="2" xfId="1" applyNumberFormat="1" applyFont="1" applyBorder="1"/>
    <xf numFmtId="41" fontId="16" fillId="0" borderId="15" xfId="1" applyNumberFormat="1" applyFont="1" applyBorder="1"/>
    <xf numFmtId="0" fontId="17" fillId="9" borderId="0" xfId="0" applyFont="1" applyFill="1"/>
    <xf numFmtId="0" fontId="17" fillId="10" borderId="0" xfId="0" applyFont="1" applyFill="1"/>
    <xf numFmtId="0" fontId="17" fillId="11" borderId="0" xfId="0" applyFont="1" applyFill="1"/>
    <xf numFmtId="0" fontId="16" fillId="3" borderId="0" xfId="0" applyFont="1" applyFill="1"/>
    <xf numFmtId="41" fontId="16" fillId="0" borderId="11" xfId="1" applyNumberFormat="1" applyFont="1" applyFill="1" applyBorder="1"/>
    <xf numFmtId="41" fontId="16" fillId="0" borderId="0" xfId="1" applyNumberFormat="1" applyFont="1" applyFill="1"/>
    <xf numFmtId="41" fontId="16" fillId="0" borderId="11" xfId="0" applyNumberFormat="1" applyFont="1" applyBorder="1"/>
    <xf numFmtId="41" fontId="16" fillId="0" borderId="17" xfId="0" applyNumberFormat="1" applyFont="1" applyBorder="1"/>
    <xf numFmtId="164" fontId="17" fillId="0" borderId="0" xfId="0" applyNumberFormat="1" applyFont="1"/>
    <xf numFmtId="41" fontId="20" fillId="12" borderId="0" xfId="0" applyNumberFormat="1" applyFont="1" applyFill="1"/>
    <xf numFmtId="167" fontId="14" fillId="4" borderId="1" xfId="2" applyFont="1" applyFill="1" applyBorder="1"/>
    <xf numFmtId="41" fontId="14" fillId="4" borderId="2" xfId="2" applyNumberFormat="1" applyFont="1" applyFill="1" applyBorder="1"/>
    <xf numFmtId="41" fontId="14" fillId="0" borderId="14" xfId="1" applyNumberFormat="1" applyFont="1" applyFill="1" applyBorder="1"/>
    <xf numFmtId="41" fontId="13" fillId="0" borderId="0" xfId="2" applyNumberFormat="1" applyFont="1"/>
    <xf numFmtId="41" fontId="13" fillId="0" borderId="0" xfId="1" applyNumberFormat="1" applyFont="1"/>
    <xf numFmtId="167" fontId="14" fillId="6" borderId="19" xfId="2" applyFont="1" applyFill="1" applyBorder="1" applyAlignment="1">
      <alignment horizontal="center" vertical="center"/>
    </xf>
    <xf numFmtId="17" fontId="14" fillId="7" borderId="19" xfId="2" applyNumberFormat="1" applyFont="1" applyFill="1" applyBorder="1" applyAlignment="1">
      <alignment horizontal="center" vertical="center"/>
    </xf>
    <xf numFmtId="167" fontId="12" fillId="4" borderId="20" xfId="2" applyFont="1" applyFill="1" applyBorder="1"/>
    <xf numFmtId="41" fontId="12" fillId="2" borderId="21" xfId="1" applyNumberFormat="1" applyFont="1" applyFill="1" applyBorder="1"/>
    <xf numFmtId="0" fontId="6" fillId="3" borderId="22" xfId="11" applyFont="1" applyFill="1" applyBorder="1"/>
    <xf numFmtId="172" fontId="6" fillId="0" borderId="0" xfId="1" applyNumberFormat="1" applyFont="1"/>
    <xf numFmtId="172" fontId="7" fillId="0" borderId="0" xfId="11" applyNumberFormat="1" applyFont="1"/>
    <xf numFmtId="172" fontId="6" fillId="0" borderId="0" xfId="11" applyNumberFormat="1" applyFont="1"/>
    <xf numFmtId="167" fontId="21" fillId="0" borderId="0" xfId="2" applyFont="1"/>
    <xf numFmtId="41" fontId="22" fillId="0" borderId="0" xfId="2" applyNumberFormat="1" applyFont="1"/>
    <xf numFmtId="164" fontId="21" fillId="0" borderId="0" xfId="2" applyNumberFormat="1" applyFont="1"/>
    <xf numFmtId="164" fontId="21" fillId="0" borderId="0" xfId="1" applyFont="1"/>
    <xf numFmtId="41" fontId="21" fillId="0" borderId="0" xfId="2" applyNumberFormat="1" applyFont="1"/>
    <xf numFmtId="41" fontId="7" fillId="0" borderId="6" xfId="11" applyNumberFormat="1" applyFont="1" applyBorder="1"/>
    <xf numFmtId="172" fontId="6" fillId="3" borderId="9" xfId="11" applyNumberFormat="1" applyFont="1" applyFill="1" applyBorder="1"/>
    <xf numFmtId="172" fontId="6" fillId="3" borderId="15" xfId="11" applyNumberFormat="1" applyFont="1" applyFill="1" applyBorder="1"/>
    <xf numFmtId="172" fontId="7" fillId="0" borderId="0" xfId="1" applyNumberFormat="1" applyFont="1"/>
    <xf numFmtId="41" fontId="12" fillId="5" borderId="0" xfId="1" applyNumberFormat="1" applyFont="1" applyFill="1" applyBorder="1"/>
    <xf numFmtId="167" fontId="12" fillId="0" borderId="7" xfId="2" applyFont="1" applyBorder="1"/>
    <xf numFmtId="41" fontId="12" fillId="0" borderId="6" xfId="2" applyNumberFormat="1" applyFont="1" applyBorder="1"/>
    <xf numFmtId="0" fontId="9" fillId="0" borderId="0" xfId="11" applyFont="1"/>
    <xf numFmtId="0" fontId="23" fillId="0" borderId="0" xfId="11" applyFont="1"/>
    <xf numFmtId="167" fontId="24" fillId="0" borderId="0" xfId="2" applyFont="1"/>
    <xf numFmtId="41" fontId="7" fillId="0" borderId="0" xfId="11" applyNumberFormat="1" applyFont="1"/>
    <xf numFmtId="41" fontId="6" fillId="0" borderId="0" xfId="11" applyNumberFormat="1" applyFont="1"/>
    <xf numFmtId="41" fontId="6" fillId="0" borderId="3" xfId="11" applyNumberFormat="1" applyFont="1" applyBorder="1"/>
    <xf numFmtId="0" fontId="6" fillId="0" borderId="1" xfId="11" applyFont="1" applyBorder="1"/>
    <xf numFmtId="41" fontId="6" fillId="0" borderId="2" xfId="11" applyNumberFormat="1" applyFont="1" applyBorder="1"/>
    <xf numFmtId="0" fontId="6" fillId="3" borderId="1" xfId="11" applyFont="1" applyFill="1" applyBorder="1" applyAlignment="1">
      <alignment horizontal="center"/>
    </xf>
    <xf numFmtId="0" fontId="7" fillId="0" borderId="23" xfId="11" applyFont="1" applyBorder="1"/>
    <xf numFmtId="0" fontId="7" fillId="0" borderId="24" xfId="11" applyFont="1" applyBorder="1"/>
    <xf numFmtId="0" fontId="7" fillId="0" borderId="22" xfId="11" applyFont="1" applyBorder="1"/>
    <xf numFmtId="17" fontId="6" fillId="0" borderId="12" xfId="11" quotePrefix="1" applyNumberFormat="1" applyFont="1" applyBorder="1" applyAlignment="1">
      <alignment horizontal="center"/>
    </xf>
    <xf numFmtId="41" fontId="7" fillId="0" borderId="25" xfId="11" applyNumberFormat="1" applyFont="1" applyBorder="1"/>
    <xf numFmtId="41" fontId="7" fillId="0" borderId="7" xfId="11" applyNumberFormat="1" applyFont="1" applyBorder="1"/>
    <xf numFmtId="41" fontId="6" fillId="0" borderId="1" xfId="11" applyNumberFormat="1" applyFont="1" applyBorder="1"/>
    <xf numFmtId="41" fontId="6" fillId="0" borderId="18" xfId="11" applyNumberFormat="1" applyFont="1" applyBorder="1"/>
    <xf numFmtId="0" fontId="7" fillId="0" borderId="26" xfId="11" applyFont="1" applyBorder="1"/>
    <xf numFmtId="0" fontId="8" fillId="0" borderId="26" xfId="11" applyFont="1" applyBorder="1"/>
    <xf numFmtId="0" fontId="7" fillId="0" borderId="20" xfId="11" applyFont="1" applyBorder="1"/>
    <xf numFmtId="0" fontId="7" fillId="0" borderId="25" xfId="11" applyFont="1" applyBorder="1"/>
    <xf numFmtId="41" fontId="7" fillId="0" borderId="9" xfId="11" applyNumberFormat="1" applyFont="1" applyBorder="1"/>
    <xf numFmtId="41" fontId="6" fillId="0" borderId="15" xfId="11" applyNumberFormat="1" applyFont="1" applyBorder="1"/>
    <xf numFmtId="171" fontId="7" fillId="0" borderId="25" xfId="1" applyNumberFormat="1" applyFont="1" applyBorder="1"/>
    <xf numFmtId="41" fontId="17" fillId="0" borderId="0" xfId="1" applyNumberFormat="1" applyFont="1" applyFill="1"/>
    <xf numFmtId="171" fontId="7" fillId="0" borderId="28" xfId="1" applyNumberFormat="1" applyFont="1" applyBorder="1"/>
    <xf numFmtId="17" fontId="6" fillId="0" borderId="10" xfId="11" quotePrefix="1" applyNumberFormat="1" applyFont="1" applyBorder="1" applyAlignment="1">
      <alignment horizontal="center"/>
    </xf>
    <xf numFmtId="9" fontId="7" fillId="0" borderId="0" xfId="11" applyNumberFormat="1" applyFont="1"/>
    <xf numFmtId="172" fontId="12" fillId="4" borderId="8" xfId="2" applyNumberFormat="1" applyFont="1" applyFill="1" applyBorder="1"/>
    <xf numFmtId="172" fontId="22" fillId="4" borderId="30" xfId="2" applyNumberFormat="1" applyFont="1" applyFill="1" applyBorder="1"/>
    <xf numFmtId="172" fontId="14" fillId="7" borderId="19" xfId="1" applyNumberFormat="1" applyFont="1" applyFill="1" applyBorder="1" applyAlignment="1">
      <alignment horizontal="center" vertical="center"/>
    </xf>
    <xf numFmtId="172" fontId="12" fillId="4" borderId="27" xfId="1" applyNumberFormat="1" applyFont="1" applyFill="1" applyBorder="1"/>
    <xf numFmtId="172" fontId="12" fillId="4" borderId="6" xfId="1" applyNumberFormat="1" applyFont="1" applyFill="1" applyBorder="1"/>
    <xf numFmtId="172" fontId="14" fillId="4" borderId="10" xfId="1" applyNumberFormat="1" applyFont="1" applyFill="1" applyBorder="1"/>
    <xf numFmtId="172" fontId="14" fillId="4" borderId="9" xfId="1" applyNumberFormat="1" applyFont="1" applyFill="1" applyBorder="1"/>
    <xf numFmtId="9" fontId="22" fillId="4" borderId="8" xfId="14" applyFont="1" applyFill="1" applyBorder="1" applyAlignment="1">
      <alignment horizontal="center"/>
    </xf>
    <xf numFmtId="172" fontId="14" fillId="7" borderId="32" xfId="1" applyNumberFormat="1" applyFont="1" applyFill="1" applyBorder="1" applyAlignment="1">
      <alignment horizontal="center" vertical="center"/>
    </xf>
    <xf numFmtId="17" fontId="14" fillId="5" borderId="34" xfId="2" applyNumberFormat="1" applyFont="1" applyFill="1" applyBorder="1" applyAlignment="1">
      <alignment horizontal="center" vertical="center"/>
    </xf>
    <xf numFmtId="17" fontId="14" fillId="5" borderId="35" xfId="2" applyNumberFormat="1" applyFont="1" applyFill="1" applyBorder="1" applyAlignment="1">
      <alignment horizontal="center" vertical="center"/>
    </xf>
    <xf numFmtId="41" fontId="14" fillId="0" borderId="2" xfId="2" applyNumberFormat="1" applyFont="1" applyBorder="1"/>
    <xf numFmtId="167" fontId="14" fillId="0" borderId="15" xfId="2" applyFont="1" applyBorder="1"/>
    <xf numFmtId="41" fontId="22" fillId="0" borderId="15" xfId="1" applyNumberFormat="1" applyFont="1" applyBorder="1"/>
    <xf numFmtId="172" fontId="14" fillId="7" borderId="31" xfId="1" applyNumberFormat="1" applyFont="1" applyFill="1" applyBorder="1" applyAlignment="1">
      <alignment horizontal="center" vertical="center"/>
    </xf>
    <xf numFmtId="172" fontId="12" fillId="4" borderId="8" xfId="1" applyNumberFormat="1" applyFont="1" applyFill="1" applyBorder="1"/>
    <xf numFmtId="172" fontId="14" fillId="4" borderId="30" xfId="1" applyNumberFormat="1" applyFont="1" applyFill="1" applyBorder="1"/>
    <xf numFmtId="164" fontId="21" fillId="0" borderId="11" xfId="1" applyFont="1" applyBorder="1"/>
    <xf numFmtId="172" fontId="22" fillId="2" borderId="11" xfId="1" applyNumberFormat="1" applyFont="1" applyFill="1" applyBorder="1"/>
    <xf numFmtId="172" fontId="22" fillId="2" borderId="15" xfId="1" applyNumberFormat="1" applyFont="1" applyFill="1" applyBorder="1"/>
    <xf numFmtId="9" fontId="22" fillId="2" borderId="11" xfId="14" applyFont="1" applyFill="1" applyBorder="1" applyAlignment="1">
      <alignment horizontal="center"/>
    </xf>
    <xf numFmtId="172" fontId="22" fillId="6" borderId="36" xfId="1" applyNumberFormat="1" applyFont="1" applyFill="1" applyBorder="1" applyAlignment="1">
      <alignment horizontal="center" vertical="center"/>
    </xf>
    <xf numFmtId="17" fontId="14" fillId="5" borderId="37" xfId="2" applyNumberFormat="1" applyFont="1" applyFill="1" applyBorder="1" applyAlignment="1">
      <alignment horizontal="center" vertical="center"/>
    </xf>
    <xf numFmtId="172" fontId="12" fillId="4" borderId="0" xfId="2" applyNumberFormat="1" applyFont="1" applyFill="1"/>
    <xf numFmtId="172" fontId="22" fillId="4" borderId="2" xfId="2" applyNumberFormat="1" applyFont="1" applyFill="1" applyBorder="1"/>
    <xf numFmtId="9" fontId="22" fillId="4" borderId="0" xfId="14" applyFont="1" applyFill="1" applyBorder="1" applyAlignment="1">
      <alignment horizontal="center"/>
    </xf>
    <xf numFmtId="17" fontId="14" fillId="13" borderId="33" xfId="2" applyNumberFormat="1" applyFont="1" applyFill="1" applyBorder="1" applyAlignment="1">
      <alignment horizontal="center" vertical="center"/>
    </xf>
    <xf numFmtId="17" fontId="14" fillId="13" borderId="34" xfId="2" applyNumberFormat="1" applyFont="1" applyFill="1" applyBorder="1" applyAlignment="1">
      <alignment horizontal="center" vertical="center"/>
    </xf>
    <xf numFmtId="17" fontId="14" fillId="13" borderId="35" xfId="2" applyNumberFormat="1" applyFont="1" applyFill="1" applyBorder="1" applyAlignment="1">
      <alignment horizontal="center" vertical="center"/>
    </xf>
    <xf numFmtId="164" fontId="13" fillId="13" borderId="4" xfId="2" applyNumberFormat="1" applyFont="1" applyFill="1" applyBorder="1"/>
    <xf numFmtId="164" fontId="13" fillId="13" borderId="0" xfId="2" applyNumberFormat="1" applyFont="1" applyFill="1"/>
    <xf numFmtId="164" fontId="13" fillId="13" borderId="18" xfId="2" applyNumberFormat="1" applyFont="1" applyFill="1" applyBorder="1"/>
    <xf numFmtId="172" fontId="12" fillId="13" borderId="4" xfId="2" applyNumberFormat="1" applyFont="1" applyFill="1" applyBorder="1"/>
    <xf numFmtId="172" fontId="12" fillId="13" borderId="8" xfId="2" applyNumberFormat="1" applyFont="1" applyFill="1" applyBorder="1"/>
    <xf numFmtId="172" fontId="12" fillId="13" borderId="38" xfId="2" applyNumberFormat="1" applyFont="1" applyFill="1" applyBorder="1"/>
    <xf numFmtId="172" fontId="22" fillId="13" borderId="1" xfId="2" applyNumberFormat="1" applyFont="1" applyFill="1" applyBorder="1"/>
    <xf numFmtId="172" fontId="22" fillId="13" borderId="30" xfId="2" applyNumberFormat="1" applyFont="1" applyFill="1" applyBorder="1"/>
    <xf numFmtId="172" fontId="22" fillId="13" borderId="14" xfId="2" applyNumberFormat="1" applyFont="1" applyFill="1" applyBorder="1"/>
    <xf numFmtId="9" fontId="22" fillId="13" borderId="4" xfId="14" applyFont="1" applyFill="1" applyBorder="1" applyAlignment="1">
      <alignment horizontal="center"/>
    </xf>
    <xf numFmtId="9" fontId="22" fillId="13" borderId="8" xfId="14" applyFont="1" applyFill="1" applyBorder="1" applyAlignment="1">
      <alignment horizontal="center"/>
    </xf>
    <xf numFmtId="9" fontId="22" fillId="13" borderId="38" xfId="14" applyFont="1" applyFill="1" applyBorder="1" applyAlignment="1">
      <alignment horizontal="center"/>
    </xf>
    <xf numFmtId="172" fontId="14" fillId="13" borderId="39" xfId="1" applyNumberFormat="1" applyFont="1" applyFill="1" applyBorder="1" applyAlignment="1">
      <alignment horizontal="center" vertical="center"/>
    </xf>
    <xf numFmtId="172" fontId="14" fillId="13" borderId="19" xfId="1" applyNumberFormat="1" applyFont="1" applyFill="1" applyBorder="1" applyAlignment="1">
      <alignment horizontal="center" vertical="center"/>
    </xf>
    <xf numFmtId="172" fontId="14" fillId="13" borderId="40" xfId="1" applyNumberFormat="1" applyFont="1" applyFill="1" applyBorder="1" applyAlignment="1">
      <alignment horizontal="center" vertical="center"/>
    </xf>
    <xf numFmtId="172" fontId="12" fillId="13" borderId="7" xfId="1" applyNumberFormat="1" applyFont="1" applyFill="1" applyBorder="1"/>
    <xf numFmtId="172" fontId="12" fillId="13" borderId="6" xfId="1" applyNumberFormat="1" applyFont="1" applyFill="1" applyBorder="1"/>
    <xf numFmtId="172" fontId="12" fillId="13" borderId="38" xfId="1" applyNumberFormat="1" applyFont="1" applyFill="1" applyBorder="1"/>
    <xf numFmtId="172" fontId="14" fillId="13" borderId="41" xfId="1" applyNumberFormat="1" applyFont="1" applyFill="1" applyBorder="1"/>
    <xf numFmtId="172" fontId="14" fillId="13" borderId="9" xfId="1" applyNumberFormat="1" applyFont="1" applyFill="1" applyBorder="1"/>
    <xf numFmtId="172" fontId="14" fillId="13" borderId="14" xfId="1" applyNumberFormat="1" applyFont="1" applyFill="1" applyBorder="1"/>
    <xf numFmtId="41" fontId="14" fillId="13" borderId="1" xfId="2" applyNumberFormat="1" applyFont="1" applyFill="1" applyBorder="1"/>
    <xf numFmtId="41" fontId="14" fillId="13" borderId="2" xfId="2" applyNumberFormat="1" applyFont="1" applyFill="1" applyBorder="1"/>
    <xf numFmtId="41" fontId="14" fillId="13" borderId="3" xfId="2" applyNumberFormat="1" applyFont="1" applyFill="1" applyBorder="1"/>
    <xf numFmtId="9" fontId="22" fillId="13" borderId="42" xfId="14" applyFont="1" applyFill="1" applyBorder="1" applyAlignment="1">
      <alignment horizontal="center"/>
    </xf>
    <xf numFmtId="9" fontId="22" fillId="13" borderId="43" xfId="14" applyFont="1" applyFill="1" applyBorder="1" applyAlignment="1">
      <alignment horizontal="center"/>
    </xf>
    <xf numFmtId="9" fontId="22" fillId="13" borderId="44" xfId="14" applyFont="1" applyFill="1" applyBorder="1" applyAlignment="1">
      <alignment horizontal="center"/>
    </xf>
    <xf numFmtId="167" fontId="14" fillId="6" borderId="29" xfId="2" applyFont="1" applyFill="1" applyBorder="1" applyAlignment="1">
      <alignment horizontal="center" vertical="center"/>
    </xf>
    <xf numFmtId="167" fontId="13" fillId="0" borderId="11" xfId="2" applyFont="1" applyBorder="1"/>
    <xf numFmtId="167" fontId="12" fillId="4" borderId="11" xfId="2" applyFont="1" applyFill="1" applyBorder="1"/>
    <xf numFmtId="167" fontId="22" fillId="4" borderId="15" xfId="2" applyFont="1" applyFill="1" applyBorder="1"/>
    <xf numFmtId="167" fontId="22" fillId="4" borderId="11" xfId="2" applyFont="1" applyFill="1" applyBorder="1"/>
    <xf numFmtId="167" fontId="14" fillId="6" borderId="36" xfId="2" applyFont="1" applyFill="1" applyBorder="1" applyAlignment="1">
      <alignment horizontal="center" vertical="center"/>
    </xf>
    <xf numFmtId="167" fontId="14" fillId="4" borderId="15" xfId="2" applyFont="1" applyFill="1" applyBorder="1"/>
    <xf numFmtId="167" fontId="22" fillId="4" borderId="17" xfId="2" applyFont="1" applyFill="1" applyBorder="1"/>
    <xf numFmtId="9" fontId="22" fillId="4" borderId="1" xfId="14" applyFont="1" applyFill="1" applyBorder="1" applyAlignment="1">
      <alignment horizontal="center"/>
    </xf>
    <xf numFmtId="9" fontId="22" fillId="4" borderId="30" xfId="14" applyFont="1" applyFill="1" applyBorder="1" applyAlignment="1">
      <alignment horizontal="center"/>
    </xf>
    <xf numFmtId="9" fontId="22" fillId="2" borderId="15" xfId="14" applyFont="1" applyFill="1" applyBorder="1" applyAlignment="1">
      <alignment horizontal="center"/>
    </xf>
    <xf numFmtId="0" fontId="6" fillId="3" borderId="45" xfId="11" applyFont="1" applyFill="1" applyBorder="1"/>
    <xf numFmtId="41" fontId="7" fillId="0" borderId="28" xfId="11" applyNumberFormat="1" applyFont="1" applyBorder="1"/>
    <xf numFmtId="41" fontId="7" fillId="0" borderId="27" xfId="11" applyNumberFormat="1" applyFont="1" applyBorder="1"/>
    <xf numFmtId="0" fontId="6" fillId="14" borderId="15" xfId="11" applyFont="1" applyFill="1" applyBorder="1" applyAlignment="1">
      <alignment horizontal="center"/>
    </xf>
    <xf numFmtId="17" fontId="6" fillId="14" borderId="15" xfId="11" quotePrefix="1" applyNumberFormat="1" applyFont="1" applyFill="1" applyBorder="1" applyAlignment="1">
      <alignment horizontal="center"/>
    </xf>
    <xf numFmtId="41" fontId="7" fillId="14" borderId="16" xfId="11" applyNumberFormat="1" applyFont="1" applyFill="1" applyBorder="1"/>
    <xf numFmtId="171" fontId="7" fillId="14" borderId="16" xfId="1" applyNumberFormat="1" applyFont="1" applyFill="1" applyBorder="1"/>
    <xf numFmtId="41" fontId="7" fillId="14" borderId="11" xfId="11" applyNumberFormat="1" applyFont="1" applyFill="1" applyBorder="1"/>
    <xf numFmtId="41" fontId="6" fillId="14" borderId="15" xfId="11" applyNumberFormat="1" applyFont="1" applyFill="1" applyBorder="1"/>
    <xf numFmtId="172" fontId="6" fillId="14" borderId="11" xfId="1" applyNumberFormat="1" applyFont="1" applyFill="1" applyBorder="1"/>
    <xf numFmtId="0" fontId="7" fillId="14" borderId="11" xfId="11" applyFont="1" applyFill="1" applyBorder="1"/>
    <xf numFmtId="0" fontId="17" fillId="15" borderId="0" xfId="0" applyFont="1" applyFill="1"/>
    <xf numFmtId="167" fontId="12" fillId="4" borderId="29" xfId="2" applyFont="1" applyFill="1" applyBorder="1"/>
    <xf numFmtId="172" fontId="12" fillId="13" borderId="45" xfId="2" applyNumberFormat="1" applyFont="1" applyFill="1" applyBorder="1"/>
    <xf numFmtId="172" fontId="12" fillId="13" borderId="46" xfId="2" applyNumberFormat="1" applyFont="1" applyFill="1" applyBorder="1"/>
    <xf numFmtId="172" fontId="12" fillId="13" borderId="47" xfId="2" applyNumberFormat="1" applyFont="1" applyFill="1" applyBorder="1"/>
    <xf numFmtId="172" fontId="12" fillId="4" borderId="48" xfId="2" applyNumberFormat="1" applyFont="1" applyFill="1" applyBorder="1"/>
    <xf numFmtId="172" fontId="12" fillId="4" borderId="46" xfId="2" applyNumberFormat="1" applyFont="1" applyFill="1" applyBorder="1"/>
    <xf numFmtId="172" fontId="22" fillId="2" borderId="29" xfId="1" applyNumberFormat="1" applyFont="1" applyFill="1" applyBorder="1"/>
    <xf numFmtId="167" fontId="13" fillId="0" borderId="15" xfId="2" applyFont="1" applyBorder="1"/>
    <xf numFmtId="167" fontId="12" fillId="3" borderId="11" xfId="2" applyFont="1" applyFill="1" applyBorder="1"/>
    <xf numFmtId="172" fontId="12" fillId="3" borderId="7" xfId="1" applyNumberFormat="1" applyFont="1" applyFill="1" applyBorder="1"/>
    <xf numFmtId="172" fontId="12" fillId="3" borderId="6" xfId="1" applyNumberFormat="1" applyFont="1" applyFill="1" applyBorder="1"/>
    <xf numFmtId="172" fontId="12" fillId="3" borderId="38" xfId="1" applyNumberFormat="1" applyFont="1" applyFill="1" applyBorder="1"/>
    <xf numFmtId="172" fontId="12" fillId="3" borderId="27" xfId="1" applyNumberFormat="1" applyFont="1" applyFill="1" applyBorder="1"/>
    <xf numFmtId="172" fontId="12" fillId="3" borderId="8" xfId="1" applyNumberFormat="1" applyFont="1" applyFill="1" applyBorder="1"/>
    <xf numFmtId="172" fontId="14" fillId="13" borderId="45" xfId="1" applyNumberFormat="1" applyFont="1" applyFill="1" applyBorder="1" applyAlignment="1">
      <alignment horizontal="center" vertical="center"/>
    </xf>
    <xf numFmtId="172" fontId="14" fillId="13" borderId="48" xfId="1" applyNumberFormat="1" applyFont="1" applyFill="1" applyBorder="1" applyAlignment="1">
      <alignment horizontal="center" vertical="center"/>
    </xf>
    <xf numFmtId="172" fontId="14" fillId="13" borderId="49" xfId="1" applyNumberFormat="1" applyFont="1" applyFill="1" applyBorder="1" applyAlignment="1">
      <alignment horizontal="center" vertical="center"/>
    </xf>
    <xf numFmtId="172" fontId="14" fillId="7" borderId="48" xfId="1" applyNumberFormat="1" applyFont="1" applyFill="1" applyBorder="1" applyAlignment="1">
      <alignment horizontal="center" vertical="center"/>
    </xf>
    <xf numFmtId="171" fontId="22" fillId="6" borderId="29" xfId="1" applyNumberFormat="1" applyFont="1" applyFill="1" applyBorder="1" applyAlignment="1">
      <alignment horizontal="center" vertical="center"/>
    </xf>
    <xf numFmtId="171" fontId="22" fillId="6" borderId="17" xfId="1" applyNumberFormat="1" applyFont="1" applyFill="1" applyBorder="1" applyAlignment="1">
      <alignment horizontal="center" vertical="center"/>
    </xf>
    <xf numFmtId="0" fontId="6" fillId="0" borderId="2" xfId="11" applyFont="1" applyBorder="1" applyAlignment="1">
      <alignment horizontal="center"/>
    </xf>
    <xf numFmtId="0" fontId="6" fillId="0" borderId="3" xfId="11" applyFont="1" applyBorder="1" applyAlignment="1">
      <alignment horizontal="center"/>
    </xf>
  </cellXfs>
  <cellStyles count="15">
    <cellStyle name="Calculated" xfId="3" xr:uid="{00000000-0005-0000-0000-000000000000}"/>
    <cellStyle name="Comma" xfId="1" builtinId="3"/>
    <cellStyle name="Comma 2" xfId="4" xr:uid="{00000000-0005-0000-0000-000002000000}"/>
    <cellStyle name="Comma 3" xfId="5" xr:uid="{00000000-0005-0000-0000-000003000000}"/>
    <cellStyle name="Comma 4" xfId="13" xr:uid="{B5CA2D7C-30D8-48C9-8A23-F48D613E3B5B}"/>
    <cellStyle name="Currency 2" xfId="6" xr:uid="{00000000-0005-0000-0000-000004000000}"/>
    <cellStyle name="Currency 3" xfId="7" xr:uid="{00000000-0005-0000-0000-000005000000}"/>
    <cellStyle name="Heading 2 2" xfId="8" xr:uid="{00000000-0005-0000-0000-000006000000}"/>
    <cellStyle name="Normal" xfId="0" builtinId="0"/>
    <cellStyle name="Normal 2" xfId="9" xr:uid="{00000000-0005-0000-0000-000008000000}"/>
    <cellStyle name="Normal 3" xfId="2" xr:uid="{00000000-0005-0000-0000-000009000000}"/>
    <cellStyle name="Normal 4" xfId="11" xr:uid="{65FC7B9A-7052-412B-98B5-B31EC9A6130C}"/>
    <cellStyle name="Per cent" xfId="14" builtinId="5"/>
    <cellStyle name="Percent 2" xfId="10" xr:uid="{00000000-0005-0000-0000-00000B000000}"/>
    <cellStyle name="Percent 3" xfId="12" xr:uid="{DD0D98C5-0F60-4FA6-8FE5-50ABB3E135CD}"/>
  </cellStyles>
  <dxfs count="1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99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32C58-F6B5-4EB3-AF44-CB92CA95E7B1}">
  <sheetPr>
    <pageSetUpPr fitToPage="1"/>
  </sheetPr>
  <dimension ref="A2:N24"/>
  <sheetViews>
    <sheetView tabSelected="1" zoomScale="76" zoomScaleNormal="100" zoomScaleSheetLayoutView="100" workbookViewId="0">
      <pane xSplit="1" ySplit="11" topLeftCell="B12" activePane="bottomRight" state="frozen"/>
      <selection pane="topRight" activeCell="B1" sqref="B1"/>
      <selection pane="bottomLeft" activeCell="A3" sqref="A3"/>
      <selection pane="bottomRight" activeCell="D12" sqref="D12"/>
    </sheetView>
  </sheetViews>
  <sheetFormatPr baseColWidth="10" defaultColWidth="49.5" defaultRowHeight="12" x14ac:dyDescent="0.15"/>
  <cols>
    <col min="1" max="1" width="46" style="17" bestFit="1" customWidth="1"/>
    <col min="2" max="2" width="13.5" style="32" bestFit="1" customWidth="1"/>
    <col min="3" max="3" width="14.83203125" style="32" bestFit="1" customWidth="1"/>
    <col min="4" max="5" width="13.5" style="32" bestFit="1" customWidth="1"/>
    <col min="6" max="6" width="13.6640625" style="32" bestFit="1" customWidth="1"/>
    <col min="7" max="8" width="14" style="32" bestFit="1" customWidth="1"/>
    <col min="9" max="10" width="13.5" style="32" bestFit="1" customWidth="1"/>
    <col min="11" max="11" width="14" style="32" bestFit="1" customWidth="1"/>
    <col min="12" max="12" width="13.5" style="32" bestFit="1" customWidth="1"/>
    <col min="13" max="13" width="14" style="32" bestFit="1" customWidth="1"/>
    <col min="14" max="14" width="15.33203125" style="77" bestFit="1" customWidth="1"/>
    <col min="15" max="16384" width="49.5" style="17"/>
  </cols>
  <sheetData>
    <row r="2" spans="1:14" ht="13" thickBot="1" x14ac:dyDescent="0.2"/>
    <row r="3" spans="1:14" ht="15" thickBot="1" x14ac:dyDescent="0.2">
      <c r="A3" s="170"/>
      <c r="B3" s="207" t="s">
        <v>64</v>
      </c>
      <c r="C3" s="208"/>
      <c r="D3" s="208"/>
      <c r="E3" s="208"/>
      <c r="F3" s="209"/>
      <c r="G3" s="210" t="s">
        <v>65</v>
      </c>
      <c r="H3" s="210"/>
      <c r="I3" s="210"/>
      <c r="J3" s="210"/>
      <c r="K3" s="210"/>
      <c r="L3" s="210"/>
      <c r="M3" s="210"/>
      <c r="N3" s="211" t="s">
        <v>61</v>
      </c>
    </row>
    <row r="4" spans="1:14" ht="15" thickBot="1" x14ac:dyDescent="0.2">
      <c r="A4" s="200"/>
      <c r="B4" s="140">
        <v>45352</v>
      </c>
      <c r="C4" s="141">
        <v>45383</v>
      </c>
      <c r="D4" s="141">
        <v>45413</v>
      </c>
      <c r="E4" s="141">
        <v>45444</v>
      </c>
      <c r="F4" s="142">
        <v>45474</v>
      </c>
      <c r="G4" s="136">
        <v>45505</v>
      </c>
      <c r="H4" s="123">
        <v>45536</v>
      </c>
      <c r="I4" s="123">
        <v>45566</v>
      </c>
      <c r="J4" s="123">
        <v>45597</v>
      </c>
      <c r="K4" s="123">
        <v>45627</v>
      </c>
      <c r="L4" s="123">
        <v>45658</v>
      </c>
      <c r="M4" s="124">
        <v>45689</v>
      </c>
      <c r="N4" s="212"/>
    </row>
    <row r="5" spans="1:14" ht="13" thickBot="1" x14ac:dyDescent="0.2">
      <c r="A5" s="171"/>
      <c r="B5" s="143"/>
      <c r="C5" s="144"/>
      <c r="D5" s="144"/>
      <c r="E5" s="144"/>
      <c r="F5" s="145"/>
      <c r="N5" s="131"/>
    </row>
    <row r="6" spans="1:14" ht="14" x14ac:dyDescent="0.15">
      <c r="A6" s="193" t="s">
        <v>56</v>
      </c>
      <c r="B6" s="194">
        <v>7656762</v>
      </c>
      <c r="C6" s="195">
        <v>5679864</v>
      </c>
      <c r="D6" s="195">
        <v>9098765</v>
      </c>
      <c r="E6" s="195">
        <v>2387654</v>
      </c>
      <c r="F6" s="196">
        <v>16545631</v>
      </c>
      <c r="G6" s="197">
        <v>24534739.572857141</v>
      </c>
      <c r="H6" s="198">
        <v>30000000</v>
      </c>
      <c r="I6" s="198">
        <v>8000000</v>
      </c>
      <c r="J6" s="198">
        <v>15456854</v>
      </c>
      <c r="K6" s="198">
        <v>25478954</v>
      </c>
      <c r="L6" s="198">
        <v>8784569</v>
      </c>
      <c r="M6" s="198">
        <v>25412365</v>
      </c>
      <c r="N6" s="199">
        <f>SUM(B6:M6)</f>
        <v>179036157.57285714</v>
      </c>
    </row>
    <row r="7" spans="1:14" ht="15" thickBot="1" x14ac:dyDescent="0.2">
      <c r="A7" s="172" t="s">
        <v>69</v>
      </c>
      <c r="B7" s="146">
        <v>-5465432</v>
      </c>
      <c r="C7" s="147">
        <v>-4536534</v>
      </c>
      <c r="D7" s="147">
        <v>-5654345</v>
      </c>
      <c r="E7" s="147">
        <v>-1876398</v>
      </c>
      <c r="F7" s="148">
        <v>-12987652</v>
      </c>
      <c r="G7" s="137">
        <v>-6250790.5699999994</v>
      </c>
      <c r="H7" s="114">
        <v>-7485790.5699999994</v>
      </c>
      <c r="I7" s="114">
        <v>-7590290.5699999994</v>
      </c>
      <c r="J7" s="114">
        <v>-7705240.5699999994</v>
      </c>
      <c r="K7" s="114">
        <v>-7831685.5700000003</v>
      </c>
      <c r="L7" s="114">
        <v>-7970775.0700000003</v>
      </c>
      <c r="M7" s="114">
        <v>-8123773.5200000005</v>
      </c>
      <c r="N7" s="132">
        <f t="shared" ref="N7:N19" si="0">SUM(B7:M7)</f>
        <v>-83478707.439999983</v>
      </c>
    </row>
    <row r="8" spans="1:14" ht="15" thickBot="1" x14ac:dyDescent="0.2">
      <c r="A8" s="173" t="s">
        <v>57</v>
      </c>
      <c r="B8" s="149">
        <f>B6+B7</f>
        <v>2191330</v>
      </c>
      <c r="C8" s="150">
        <f t="shared" ref="C8:N8" si="1">C6+C7</f>
        <v>1143330</v>
      </c>
      <c r="D8" s="150">
        <f t="shared" si="1"/>
        <v>3444420</v>
      </c>
      <c r="E8" s="150">
        <f t="shared" si="1"/>
        <v>511256</v>
      </c>
      <c r="F8" s="151">
        <f t="shared" si="1"/>
        <v>3557979</v>
      </c>
      <c r="G8" s="138">
        <f t="shared" si="1"/>
        <v>18283949.002857141</v>
      </c>
      <c r="H8" s="115">
        <f t="shared" si="1"/>
        <v>22514209.43</v>
      </c>
      <c r="I8" s="115">
        <f t="shared" si="1"/>
        <v>409709.43000000063</v>
      </c>
      <c r="J8" s="115">
        <f t="shared" si="1"/>
        <v>7751613.4300000006</v>
      </c>
      <c r="K8" s="115">
        <f t="shared" si="1"/>
        <v>17647268.43</v>
      </c>
      <c r="L8" s="115">
        <f t="shared" si="1"/>
        <v>813793.9299999997</v>
      </c>
      <c r="M8" s="115">
        <f t="shared" si="1"/>
        <v>17288591.48</v>
      </c>
      <c r="N8" s="133">
        <f t="shared" si="1"/>
        <v>95557450.132857159</v>
      </c>
    </row>
    <row r="9" spans="1:14" ht="14" x14ac:dyDescent="0.15">
      <c r="A9" s="174" t="s">
        <v>59</v>
      </c>
      <c r="B9" s="152">
        <f>B8/B6</f>
        <v>0.28619539173347691</v>
      </c>
      <c r="C9" s="153">
        <f t="shared" ref="C9:N9" si="2">C8/C6</f>
        <v>0.20129531270467038</v>
      </c>
      <c r="D9" s="153">
        <f t="shared" si="2"/>
        <v>0.3785590681812312</v>
      </c>
      <c r="E9" s="153">
        <f t="shared" si="2"/>
        <v>0.2141248271315693</v>
      </c>
      <c r="F9" s="154">
        <f t="shared" si="2"/>
        <v>0.21504039344283696</v>
      </c>
      <c r="G9" s="139">
        <f t="shared" si="2"/>
        <v>0.74522694437257164</v>
      </c>
      <c r="H9" s="121">
        <f t="shared" si="2"/>
        <v>0.75047364766666669</v>
      </c>
      <c r="I9" s="121">
        <f t="shared" si="2"/>
        <v>5.1213678750000081E-2</v>
      </c>
      <c r="J9" s="121">
        <f t="shared" si="2"/>
        <v>0.50150007433595478</v>
      </c>
      <c r="K9" s="121">
        <f t="shared" si="2"/>
        <v>0.69262138587007926</v>
      </c>
      <c r="L9" s="121">
        <f t="shared" si="2"/>
        <v>9.2639027594865461E-2</v>
      </c>
      <c r="M9" s="121">
        <f t="shared" si="2"/>
        <v>0.68032201961525429</v>
      </c>
      <c r="N9" s="134">
        <f t="shared" si="2"/>
        <v>0.53373269080560404</v>
      </c>
    </row>
    <row r="10" spans="1:14" ht="14" x14ac:dyDescent="0.15">
      <c r="A10" s="172"/>
      <c r="B10" s="146"/>
      <c r="C10" s="147"/>
      <c r="D10" s="147"/>
      <c r="E10" s="147"/>
      <c r="F10" s="148"/>
      <c r="G10" s="137"/>
      <c r="H10" s="114"/>
      <c r="I10" s="114"/>
      <c r="J10" s="114"/>
      <c r="K10" s="114"/>
      <c r="L10" s="114"/>
      <c r="M10" s="114"/>
      <c r="N10" s="132">
        <f t="shared" si="0"/>
        <v>0</v>
      </c>
    </row>
    <row r="11" spans="1:14" ht="14" x14ac:dyDescent="0.15">
      <c r="A11" s="175" t="s">
        <v>9</v>
      </c>
      <c r="B11" s="155"/>
      <c r="C11" s="156"/>
      <c r="D11" s="156"/>
      <c r="E11" s="156"/>
      <c r="F11" s="157"/>
      <c r="G11" s="122"/>
      <c r="H11" s="116"/>
      <c r="I11" s="116"/>
      <c r="J11" s="116"/>
      <c r="K11" s="116"/>
      <c r="L11" s="116"/>
      <c r="M11" s="128"/>
      <c r="N11" s="135"/>
    </row>
    <row r="12" spans="1:14" ht="14" x14ac:dyDescent="0.15">
      <c r="A12" s="172" t="s">
        <v>58</v>
      </c>
      <c r="B12" s="158">
        <v>-3596002.4</v>
      </c>
      <c r="C12" s="159">
        <v>-3596002.4</v>
      </c>
      <c r="D12" s="159">
        <v>-3296002.4</v>
      </c>
      <c r="E12" s="159">
        <v>-3196002.4</v>
      </c>
      <c r="F12" s="160">
        <v>-2996002.4</v>
      </c>
      <c r="G12" s="117">
        <v>-2596002.4000000004</v>
      </c>
      <c r="H12" s="118">
        <v>-2596002.4000000004</v>
      </c>
      <c r="I12" s="118">
        <v>-2596002.4000000004</v>
      </c>
      <c r="J12" s="118">
        <v>-2596002.4000000004</v>
      </c>
      <c r="K12" s="118">
        <v>-2596002.4000000004</v>
      </c>
      <c r="L12" s="118">
        <v>-2596002.4000000004</v>
      </c>
      <c r="M12" s="129">
        <v>-2596002.4000000004</v>
      </c>
      <c r="N12" s="132">
        <f t="shared" si="0"/>
        <v>-34852028.79999999</v>
      </c>
    </row>
    <row r="13" spans="1:14" ht="14" x14ac:dyDescent="0.15">
      <c r="A13" s="172" t="s">
        <v>71</v>
      </c>
      <c r="B13" s="158">
        <v>-382876</v>
      </c>
      <c r="C13" s="159">
        <v>-382876</v>
      </c>
      <c r="D13" s="159">
        <v>-382876</v>
      </c>
      <c r="E13" s="159">
        <v>-382876</v>
      </c>
      <c r="F13" s="160">
        <v>-382876</v>
      </c>
      <c r="G13" s="117">
        <v>-451655</v>
      </c>
      <c r="H13" s="118">
        <f t="shared" ref="H13:H18" si="3">G13*0.6</f>
        <v>-270993</v>
      </c>
      <c r="I13" s="118">
        <f>H13*2</f>
        <v>-541986</v>
      </c>
      <c r="J13" s="118">
        <f>I13*2</f>
        <v>-1083972</v>
      </c>
      <c r="K13" s="118">
        <f t="shared" ref="K13:K18" si="4">J13*0.1</f>
        <v>-108397.20000000001</v>
      </c>
      <c r="L13" s="118">
        <f t="shared" ref="L13:L18" si="5">K13*2</f>
        <v>-216794.40000000002</v>
      </c>
      <c r="M13" s="129">
        <f t="shared" ref="M13:M18" si="6">L13*0.025</f>
        <v>-5419.8600000000006</v>
      </c>
      <c r="N13" s="132">
        <f t="shared" si="0"/>
        <v>-4593597.4600000009</v>
      </c>
    </row>
    <row r="14" spans="1:14" ht="14" x14ac:dyDescent="0.15">
      <c r="A14" s="172" t="s">
        <v>46</v>
      </c>
      <c r="B14" s="158">
        <v>-132000</v>
      </c>
      <c r="C14" s="159">
        <v>-132000</v>
      </c>
      <c r="D14" s="159">
        <v>-132000</v>
      </c>
      <c r="E14" s="159">
        <v>-132000</v>
      </c>
      <c r="F14" s="160">
        <v>-132000</v>
      </c>
      <c r="G14" s="117">
        <v>-154654</v>
      </c>
      <c r="H14" s="118">
        <f t="shared" si="3"/>
        <v>-92792.4</v>
      </c>
      <c r="I14" s="118">
        <f t="shared" ref="I14:J18" si="7">H14*2</f>
        <v>-185584.8</v>
      </c>
      <c r="J14" s="118">
        <f t="shared" si="7"/>
        <v>-371169.6</v>
      </c>
      <c r="K14" s="118">
        <f t="shared" si="4"/>
        <v>-37116.959999999999</v>
      </c>
      <c r="L14" s="118">
        <f t="shared" si="5"/>
        <v>-74233.919999999998</v>
      </c>
      <c r="M14" s="129">
        <f t="shared" si="6"/>
        <v>-1855.848</v>
      </c>
      <c r="N14" s="132">
        <f t="shared" si="0"/>
        <v>-1577407.5279999997</v>
      </c>
    </row>
    <row r="15" spans="1:14" ht="14" x14ac:dyDescent="0.15">
      <c r="A15" s="172" t="s">
        <v>47</v>
      </c>
      <c r="B15" s="158">
        <v>-740000</v>
      </c>
      <c r="C15" s="159">
        <v>-740000</v>
      </c>
      <c r="D15" s="159">
        <v>-740000</v>
      </c>
      <c r="E15" s="159">
        <v>-740000</v>
      </c>
      <c r="F15" s="160">
        <v>-740000</v>
      </c>
      <c r="G15" s="117">
        <v>-875465</v>
      </c>
      <c r="H15" s="118">
        <f t="shared" si="3"/>
        <v>-525279</v>
      </c>
      <c r="I15" s="118">
        <f t="shared" si="7"/>
        <v>-1050558</v>
      </c>
      <c r="J15" s="118">
        <f t="shared" si="7"/>
        <v>-2101116</v>
      </c>
      <c r="K15" s="118">
        <f t="shared" si="4"/>
        <v>-210111.6</v>
      </c>
      <c r="L15" s="118">
        <f t="shared" si="5"/>
        <v>-420223.2</v>
      </c>
      <c r="M15" s="129">
        <f t="shared" si="6"/>
        <v>-10505.580000000002</v>
      </c>
      <c r="N15" s="132">
        <f t="shared" si="0"/>
        <v>-8893258.379999999</v>
      </c>
    </row>
    <row r="16" spans="1:14" ht="14" x14ac:dyDescent="0.15">
      <c r="A16" s="172" t="s">
        <v>48</v>
      </c>
      <c r="B16" s="158">
        <v>-40000</v>
      </c>
      <c r="C16" s="159">
        <v>-40000</v>
      </c>
      <c r="D16" s="159">
        <v>-40000</v>
      </c>
      <c r="E16" s="159">
        <v>-40000</v>
      </c>
      <c r="F16" s="160">
        <v>-40000</v>
      </c>
      <c r="G16" s="117">
        <v>-45641</v>
      </c>
      <c r="H16" s="118">
        <f t="shared" si="3"/>
        <v>-27384.6</v>
      </c>
      <c r="I16" s="118">
        <f t="shared" si="7"/>
        <v>-54769.2</v>
      </c>
      <c r="J16" s="118">
        <f t="shared" si="7"/>
        <v>-109538.4</v>
      </c>
      <c r="K16" s="118">
        <f t="shared" si="4"/>
        <v>-10953.84</v>
      </c>
      <c r="L16" s="118">
        <f t="shared" si="5"/>
        <v>-21907.68</v>
      </c>
      <c r="M16" s="129">
        <f t="shared" si="6"/>
        <v>-547.69200000000001</v>
      </c>
      <c r="N16" s="132">
        <f t="shared" si="0"/>
        <v>-470742.41199999995</v>
      </c>
    </row>
    <row r="17" spans="1:14" ht="14" x14ac:dyDescent="0.15">
      <c r="A17" s="172" t="s">
        <v>49</v>
      </c>
      <c r="B17" s="158">
        <v>-22000</v>
      </c>
      <c r="C17" s="159">
        <v>-22000</v>
      </c>
      <c r="D17" s="159">
        <v>-22000</v>
      </c>
      <c r="E17" s="159">
        <v>-22000</v>
      </c>
      <c r="F17" s="160">
        <v>-22000</v>
      </c>
      <c r="G17" s="117">
        <v>-31651</v>
      </c>
      <c r="H17" s="118">
        <f t="shared" si="3"/>
        <v>-18990.599999999999</v>
      </c>
      <c r="I17" s="118">
        <f t="shared" si="7"/>
        <v>-37981.199999999997</v>
      </c>
      <c r="J17" s="118">
        <f t="shared" si="7"/>
        <v>-75962.399999999994</v>
      </c>
      <c r="K17" s="118">
        <f t="shared" si="4"/>
        <v>-7596.24</v>
      </c>
      <c r="L17" s="118">
        <f t="shared" si="5"/>
        <v>-15192.48</v>
      </c>
      <c r="M17" s="129">
        <f t="shared" si="6"/>
        <v>-379.81200000000001</v>
      </c>
      <c r="N17" s="132">
        <f t="shared" si="0"/>
        <v>-297753.7319999999</v>
      </c>
    </row>
    <row r="18" spans="1:14" ht="14" x14ac:dyDescent="0.15">
      <c r="A18" s="172" t="s">
        <v>50</v>
      </c>
      <c r="B18" s="158">
        <v>-550763</v>
      </c>
      <c r="C18" s="159">
        <v>-150763</v>
      </c>
      <c r="D18" s="159">
        <v>-555076</v>
      </c>
      <c r="E18" s="159">
        <v>-555763</v>
      </c>
      <c r="F18" s="160">
        <v>-155076</v>
      </c>
      <c r="G18" s="117">
        <v>-549844</v>
      </c>
      <c r="H18" s="118">
        <f t="shared" si="3"/>
        <v>-329906.39999999997</v>
      </c>
      <c r="I18" s="118">
        <f t="shared" si="7"/>
        <v>-659812.79999999993</v>
      </c>
      <c r="J18" s="118">
        <f t="shared" si="7"/>
        <v>-1319625.5999999999</v>
      </c>
      <c r="K18" s="118">
        <f t="shared" si="4"/>
        <v>-131962.56</v>
      </c>
      <c r="L18" s="118">
        <f t="shared" si="5"/>
        <v>-263925.12</v>
      </c>
      <c r="M18" s="129">
        <f t="shared" si="6"/>
        <v>-6598.1280000000006</v>
      </c>
      <c r="N18" s="132">
        <f t="shared" si="0"/>
        <v>-5229115.6079999991</v>
      </c>
    </row>
    <row r="19" spans="1:14" ht="15" thickBot="1" x14ac:dyDescent="0.2">
      <c r="A19" s="201" t="s">
        <v>70</v>
      </c>
      <c r="B19" s="202">
        <v>-2050000</v>
      </c>
      <c r="C19" s="203">
        <v>-5000011</v>
      </c>
      <c r="D19" s="203">
        <v>-1150000</v>
      </c>
      <c r="E19" s="203">
        <v>-1150000</v>
      </c>
      <c r="F19" s="204">
        <v>-1150000</v>
      </c>
      <c r="G19" s="205">
        <v>-1150000</v>
      </c>
      <c r="H19" s="203">
        <v>-1150000</v>
      </c>
      <c r="I19" s="203">
        <v>-1150000</v>
      </c>
      <c r="J19" s="203">
        <v>-1150000</v>
      </c>
      <c r="K19" s="203">
        <v>-1150000</v>
      </c>
      <c r="L19" s="203">
        <v>-1150000</v>
      </c>
      <c r="M19" s="206">
        <v>-1150000</v>
      </c>
      <c r="N19" s="132">
        <f t="shared" si="0"/>
        <v>-18550011</v>
      </c>
    </row>
    <row r="20" spans="1:14" ht="15" thickBot="1" x14ac:dyDescent="0.2">
      <c r="A20" s="176" t="s">
        <v>62</v>
      </c>
      <c r="B20" s="161">
        <f t="shared" ref="B20:G20" si="8">SUM(B12:B19)</f>
        <v>-7513641.4000000004</v>
      </c>
      <c r="C20" s="162">
        <f t="shared" si="8"/>
        <v>-10063652.4</v>
      </c>
      <c r="D20" s="162">
        <f t="shared" si="8"/>
        <v>-6317954.4000000004</v>
      </c>
      <c r="E20" s="162">
        <f t="shared" si="8"/>
        <v>-6218641.4000000004</v>
      </c>
      <c r="F20" s="163">
        <f t="shared" si="8"/>
        <v>-5617954.4000000004</v>
      </c>
      <c r="G20" s="119">
        <f t="shared" si="8"/>
        <v>-5854912.4000000004</v>
      </c>
      <c r="H20" s="120">
        <f t="shared" ref="H20:N20" si="9">SUM(H12:H19)</f>
        <v>-5011348.4000000004</v>
      </c>
      <c r="I20" s="120">
        <f t="shared" si="9"/>
        <v>-6276694.4000000004</v>
      </c>
      <c r="J20" s="120">
        <f t="shared" si="9"/>
        <v>-8807386.4000000004</v>
      </c>
      <c r="K20" s="120">
        <f t="shared" si="9"/>
        <v>-4252140.8000000007</v>
      </c>
      <c r="L20" s="120">
        <f t="shared" si="9"/>
        <v>-4758279.2000000011</v>
      </c>
      <c r="M20" s="130">
        <f t="shared" si="9"/>
        <v>-3771309.3200000003</v>
      </c>
      <c r="N20" s="133">
        <f t="shared" si="9"/>
        <v>-74463914.919999987</v>
      </c>
    </row>
    <row r="21" spans="1:14" ht="13" thickBot="1" x14ac:dyDescent="0.2">
      <c r="A21" s="171"/>
      <c r="B21" s="143"/>
      <c r="C21" s="144"/>
      <c r="D21" s="144"/>
      <c r="E21" s="144"/>
      <c r="F21" s="145"/>
      <c r="N21" s="131"/>
    </row>
    <row r="22" spans="1:14" s="29" customFormat="1" ht="15" thickBot="1" x14ac:dyDescent="0.2">
      <c r="A22" s="126" t="s">
        <v>63</v>
      </c>
      <c r="B22" s="164">
        <f>B8+B20</f>
        <v>-5322311.4000000004</v>
      </c>
      <c r="C22" s="165">
        <f t="shared" ref="C22:N22" si="10">C8+C20</f>
        <v>-8920322.4000000004</v>
      </c>
      <c r="D22" s="165">
        <f t="shared" si="10"/>
        <v>-2873534.4000000004</v>
      </c>
      <c r="E22" s="165">
        <f t="shared" si="10"/>
        <v>-5707385.4000000004</v>
      </c>
      <c r="F22" s="166">
        <f t="shared" si="10"/>
        <v>-2059975.4000000004</v>
      </c>
      <c r="G22" s="125">
        <f t="shared" si="10"/>
        <v>12429036.602857141</v>
      </c>
      <c r="H22" s="125">
        <f t="shared" si="10"/>
        <v>17502861.030000001</v>
      </c>
      <c r="I22" s="125">
        <f t="shared" si="10"/>
        <v>-5866984.9699999997</v>
      </c>
      <c r="J22" s="125">
        <f t="shared" si="10"/>
        <v>-1055772.9699999997</v>
      </c>
      <c r="K22" s="125">
        <f t="shared" si="10"/>
        <v>13395127.629999999</v>
      </c>
      <c r="L22" s="125">
        <f t="shared" si="10"/>
        <v>-3944485.2700000014</v>
      </c>
      <c r="M22" s="125">
        <f t="shared" si="10"/>
        <v>13517282.16</v>
      </c>
      <c r="N22" s="127">
        <f t="shared" si="10"/>
        <v>21093535.212857172</v>
      </c>
    </row>
    <row r="23" spans="1:14" ht="15" thickBot="1" x14ac:dyDescent="0.2">
      <c r="A23" s="177" t="s">
        <v>66</v>
      </c>
      <c r="B23" s="167">
        <f t="shared" ref="B23:N23" si="11">B22/B6</f>
        <v>-0.69511255541180472</v>
      </c>
      <c r="C23" s="168">
        <f t="shared" si="11"/>
        <v>-1.5705168997004155</v>
      </c>
      <c r="D23" s="168">
        <f t="shared" si="11"/>
        <v>-0.31581587171445802</v>
      </c>
      <c r="E23" s="168">
        <f t="shared" si="11"/>
        <v>-2.3903737308672031</v>
      </c>
      <c r="F23" s="169">
        <f t="shared" si="11"/>
        <v>-0.12450267989174908</v>
      </c>
      <c r="G23" s="178">
        <f t="shared" si="11"/>
        <v>0.50658930232165267</v>
      </c>
      <c r="H23" s="179">
        <f t="shared" si="11"/>
        <v>0.58342870099999999</v>
      </c>
      <c r="I23" s="179">
        <f t="shared" si="11"/>
        <v>-0.73337312124999998</v>
      </c>
      <c r="J23" s="179">
        <f t="shared" si="11"/>
        <v>-6.8304518500336461E-2</v>
      </c>
      <c r="K23" s="179">
        <f t="shared" si="11"/>
        <v>0.52573302773732389</v>
      </c>
      <c r="L23" s="179">
        <f t="shared" si="11"/>
        <v>-0.44902433687981747</v>
      </c>
      <c r="M23" s="179">
        <f t="shared" si="11"/>
        <v>0.5319175196798881</v>
      </c>
      <c r="N23" s="180">
        <f t="shared" si="11"/>
        <v>0.11781718005355063</v>
      </c>
    </row>
    <row r="24" spans="1:14" s="74" customFormat="1" ht="14" x14ac:dyDescent="0.15">
      <c r="B24" s="75"/>
      <c r="C24" s="75"/>
      <c r="D24" s="75"/>
      <c r="E24" s="75"/>
      <c r="F24" s="75"/>
      <c r="G24" s="75"/>
      <c r="H24" s="76"/>
      <c r="I24" s="75"/>
      <c r="J24" s="76"/>
      <c r="K24" s="75"/>
      <c r="L24" s="76"/>
      <c r="M24" s="75"/>
      <c r="N24" s="77"/>
    </row>
  </sheetData>
  <mergeCells count="3">
    <mergeCell ref="B3:F3"/>
    <mergeCell ref="G3:M3"/>
    <mergeCell ref="N3:N4"/>
  </mergeCells>
  <conditionalFormatting sqref="B22:N22">
    <cfRule type="cellIs" dxfId="12" priority="1" operator="lessThan">
      <formula>0</formula>
    </cfRule>
    <cfRule type="cellIs" dxfId="11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65" orientation="landscape"/>
  <ignoredErrors>
    <ignoredError sqref="K13:K18 N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zoomScale="80" zoomScaleNormal="8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23" sqref="D23"/>
    </sheetView>
  </sheetViews>
  <sheetFormatPr baseColWidth="10" defaultColWidth="8.83203125" defaultRowHeight="14" x14ac:dyDescent="0.15"/>
  <cols>
    <col min="1" max="1" width="15.5" style="35" bestFit="1" customWidth="1"/>
    <col min="2" max="2" width="28.6640625" style="35" bestFit="1" customWidth="1"/>
    <col min="3" max="9" width="14.5" style="35" bestFit="1" customWidth="1"/>
    <col min="10" max="10" width="15.6640625" style="35" bestFit="1" customWidth="1"/>
    <col min="11" max="11" width="27.5" style="35" bestFit="1" customWidth="1"/>
    <col min="12" max="12" width="11.83203125" style="35" bestFit="1" customWidth="1"/>
    <col min="13" max="13" width="15.5" style="35" bestFit="1" customWidth="1"/>
    <col min="14" max="16384" width="8.83203125" style="35"/>
  </cols>
  <sheetData>
    <row r="1" spans="1:13" ht="15" thickBot="1" x14ac:dyDescent="0.2">
      <c r="A1" s="34" t="s">
        <v>2</v>
      </c>
      <c r="C1" s="36">
        <v>45505</v>
      </c>
      <c r="D1" s="36">
        <v>45536</v>
      </c>
      <c r="E1" s="36">
        <v>45566</v>
      </c>
      <c r="F1" s="36">
        <v>45597</v>
      </c>
      <c r="G1" s="36">
        <v>45627</v>
      </c>
      <c r="H1" s="36">
        <v>45658</v>
      </c>
      <c r="I1" s="36">
        <v>45689</v>
      </c>
      <c r="J1" s="37" t="s">
        <v>0</v>
      </c>
    </row>
    <row r="2" spans="1:13" x14ac:dyDescent="0.15">
      <c r="B2" s="35" t="s">
        <v>3</v>
      </c>
      <c r="C2" s="38">
        <v>2567876</v>
      </c>
      <c r="D2" s="38">
        <f t="shared" ref="D2:I2" si="0">C23</f>
        <v>-6804591.1799999997</v>
      </c>
      <c r="E2" s="38">
        <f t="shared" si="0"/>
        <v>-10805894.202714285</v>
      </c>
      <c r="F2" s="38">
        <f t="shared" si="0"/>
        <v>-13233784.610857142</v>
      </c>
      <c r="G2" s="38">
        <f t="shared" si="0"/>
        <v>-18867738.890857141</v>
      </c>
      <c r="H2" s="38">
        <f t="shared" si="0"/>
        <v>-25927207.170857143</v>
      </c>
      <c r="I2" s="38">
        <f t="shared" si="0"/>
        <v>-30392637.150857143</v>
      </c>
      <c r="J2" s="40">
        <f t="shared" ref="J2:J22" si="1">SUM(C2:I2)</f>
        <v>-103463977.20614284</v>
      </c>
      <c r="M2" s="42"/>
    </row>
    <row r="3" spans="1:13" x14ac:dyDescent="0.15">
      <c r="C3" s="43"/>
      <c r="D3" s="43"/>
      <c r="E3" s="43"/>
      <c r="F3" s="43"/>
      <c r="G3" s="43"/>
      <c r="H3" s="43"/>
      <c r="I3" s="43"/>
      <c r="J3" s="44">
        <f t="shared" si="1"/>
        <v>0</v>
      </c>
      <c r="L3" s="46"/>
      <c r="M3" s="41"/>
    </row>
    <row r="4" spans="1:13" x14ac:dyDescent="0.15">
      <c r="A4" s="47"/>
      <c r="B4" s="35" t="s">
        <v>23</v>
      </c>
      <c r="C4" s="43">
        <f>Sales!C26</f>
        <v>1654563.1</v>
      </c>
      <c r="D4" s="43">
        <f>Sales!D26</f>
        <v>7417163.2572857141</v>
      </c>
      <c r="E4" s="43">
        <f>Sales!E26</f>
        <v>10360421.871857142</v>
      </c>
      <c r="F4" s="43">
        <f>Sales!F26</f>
        <v>9800000</v>
      </c>
      <c r="G4" s="43">
        <f>Sales!G26</f>
        <v>3945685.4000000004</v>
      </c>
      <c r="H4" s="43">
        <f>Sales!H26</f>
        <v>7184951.6000000006</v>
      </c>
      <c r="I4" s="43">
        <f>Sales!I26</f>
        <v>8522143.0999999996</v>
      </c>
      <c r="J4" s="44">
        <f t="shared" si="1"/>
        <v>48884928.329142861</v>
      </c>
      <c r="L4" s="43"/>
      <c r="M4" s="41"/>
    </row>
    <row r="5" spans="1:13" x14ac:dyDescent="0.15">
      <c r="A5" s="47"/>
      <c r="B5" s="35" t="s">
        <v>4</v>
      </c>
      <c r="C5" s="43">
        <f>-Sales!C14</f>
        <v>3680210.935928571</v>
      </c>
      <c r="D5" s="43">
        <f>-Sales!D14</f>
        <v>4500000</v>
      </c>
      <c r="E5" s="43">
        <f>-Sales!E14</f>
        <v>1200000</v>
      </c>
      <c r="F5" s="43">
        <f>-Sales!F14</f>
        <v>2318528.1</v>
      </c>
      <c r="G5" s="43">
        <f>-Sales!G14</f>
        <v>3821843.0999999996</v>
      </c>
      <c r="H5" s="43">
        <f>-Sales!H14</f>
        <v>1317685.3499999999</v>
      </c>
      <c r="I5" s="43">
        <f>-Sales!I14</f>
        <v>3811854.75</v>
      </c>
      <c r="J5" s="44">
        <f t="shared" si="1"/>
        <v>20650122.235928573</v>
      </c>
      <c r="L5" s="43"/>
      <c r="M5" s="41"/>
    </row>
    <row r="6" spans="1:13" ht="15" thickBot="1" x14ac:dyDescent="0.2">
      <c r="B6" s="35" t="s">
        <v>67</v>
      </c>
      <c r="C6" s="43">
        <v>0</v>
      </c>
      <c r="D6" s="43"/>
      <c r="E6" s="43"/>
      <c r="F6" s="43"/>
      <c r="G6" s="43"/>
      <c r="H6" s="43"/>
      <c r="I6" s="43"/>
      <c r="J6" s="44">
        <f t="shared" si="1"/>
        <v>0</v>
      </c>
      <c r="L6" s="43"/>
    </row>
    <row r="7" spans="1:13" s="34" customFormat="1" ht="15" thickBot="1" x14ac:dyDescent="0.2">
      <c r="B7" s="48" t="s">
        <v>5</v>
      </c>
      <c r="C7" s="49">
        <f t="shared" ref="C7:I7" si="2">SUM(C4:C6)</f>
        <v>5334774.0359285716</v>
      </c>
      <c r="D7" s="49">
        <f t="shared" si="2"/>
        <v>11917163.257285714</v>
      </c>
      <c r="E7" s="49">
        <f t="shared" si="2"/>
        <v>11560421.871857142</v>
      </c>
      <c r="F7" s="49">
        <f t="shared" si="2"/>
        <v>12118528.1</v>
      </c>
      <c r="G7" s="49">
        <f t="shared" si="2"/>
        <v>7767528.5</v>
      </c>
      <c r="H7" s="49">
        <f t="shared" si="2"/>
        <v>8502636.9500000011</v>
      </c>
      <c r="I7" s="49">
        <f t="shared" si="2"/>
        <v>12333997.85</v>
      </c>
      <c r="J7" s="50">
        <f t="shared" si="1"/>
        <v>69535050.565071434</v>
      </c>
      <c r="L7" s="43"/>
    </row>
    <row r="8" spans="1:13" x14ac:dyDescent="0.15">
      <c r="C8" s="43"/>
      <c r="D8" s="43"/>
      <c r="E8" s="43"/>
      <c r="F8" s="43"/>
      <c r="G8" s="43"/>
      <c r="H8" s="43"/>
      <c r="I8" s="43"/>
      <c r="J8" s="44">
        <f t="shared" si="1"/>
        <v>0</v>
      </c>
      <c r="L8" s="43"/>
    </row>
    <row r="9" spans="1:13" x14ac:dyDescent="0.15">
      <c r="B9" s="35" t="s">
        <v>6</v>
      </c>
      <c r="C9" s="43">
        <f t="shared" ref="C9:I9" si="3">C2+C7</f>
        <v>7902650.0359285716</v>
      </c>
      <c r="D9" s="43">
        <f t="shared" si="3"/>
        <v>5112572.0772857144</v>
      </c>
      <c r="E9" s="43">
        <f t="shared" si="3"/>
        <v>754527.66914285719</v>
      </c>
      <c r="F9" s="43">
        <f t="shared" si="3"/>
        <v>-1115256.5108571425</v>
      </c>
      <c r="G9" s="43">
        <f t="shared" si="3"/>
        <v>-11100210.390857141</v>
      </c>
      <c r="H9" s="43">
        <f t="shared" si="3"/>
        <v>-17424570.220857143</v>
      </c>
      <c r="I9" s="43">
        <f t="shared" si="3"/>
        <v>-18058639.300857142</v>
      </c>
      <c r="J9" s="44">
        <f t="shared" si="1"/>
        <v>-33928926.641071424</v>
      </c>
      <c r="L9" s="43"/>
    </row>
    <row r="10" spans="1:13" x14ac:dyDescent="0.15">
      <c r="C10" s="43"/>
      <c r="D10" s="43"/>
      <c r="E10" s="43"/>
      <c r="F10" s="43"/>
      <c r="G10" s="43"/>
      <c r="H10" s="43"/>
      <c r="I10" s="43"/>
      <c r="J10" s="44">
        <f t="shared" si="1"/>
        <v>0</v>
      </c>
      <c r="L10" s="43"/>
    </row>
    <row r="11" spans="1:13" x14ac:dyDescent="0.15">
      <c r="A11" s="51"/>
      <c r="B11" s="35" t="s">
        <v>7</v>
      </c>
      <c r="C11" s="43">
        <f>'Salaries &amp; Consultants'!B5</f>
        <v>-2342403.2000000002</v>
      </c>
      <c r="D11" s="43">
        <f>'Salaries &amp; Consultants'!C5</f>
        <v>-2342403.2000000002</v>
      </c>
      <c r="E11" s="43">
        <f>'Salaries &amp; Consultants'!D5</f>
        <v>-2342403.2000000002</v>
      </c>
      <c r="F11" s="43">
        <f>'Salaries &amp; Consultants'!E5</f>
        <v>-2342403.2000000002</v>
      </c>
      <c r="G11" s="43">
        <f>'Salaries &amp; Consultants'!F5</f>
        <v>-2342403.2000000002</v>
      </c>
      <c r="H11" s="43">
        <f>'Salaries &amp; Consultants'!G5</f>
        <v>-2342403.2000000002</v>
      </c>
      <c r="I11" s="43">
        <f>'Salaries &amp; Consultants'!H5</f>
        <v>-2342403.2000000002</v>
      </c>
      <c r="J11" s="44">
        <f t="shared" si="1"/>
        <v>-16396822.399999999</v>
      </c>
      <c r="L11" s="43"/>
    </row>
    <row r="12" spans="1:13" x14ac:dyDescent="0.15">
      <c r="A12" s="51"/>
      <c r="B12" s="35" t="s">
        <v>8</v>
      </c>
      <c r="C12" s="43">
        <f>'Salaries &amp; Consultants'!B11+'Salaries &amp; Consultants'!B21</f>
        <v>-253599.2</v>
      </c>
      <c r="D12" s="43">
        <f>'Salaries &amp; Consultants'!C11+'Salaries &amp; Consultants'!C21</f>
        <v>-253599.2</v>
      </c>
      <c r="E12" s="43">
        <f>'Salaries &amp; Consultants'!D11+'Salaries &amp; Consultants'!D21</f>
        <v>-253599.2</v>
      </c>
      <c r="F12" s="43">
        <f>'Salaries &amp; Consultants'!E11+'Salaries &amp; Consultants'!E21</f>
        <v>-253599.2</v>
      </c>
      <c r="G12" s="43">
        <f>'Salaries &amp; Consultants'!F11+'Salaries &amp; Consultants'!F21</f>
        <v>-253599.2</v>
      </c>
      <c r="H12" s="43">
        <f>'Salaries &amp; Consultants'!G11+'Salaries &amp; Consultants'!G21</f>
        <v>-253599.2</v>
      </c>
      <c r="I12" s="43">
        <f>'Salaries &amp; Consultants'!H11+'Salaries &amp; Consultants'!H21</f>
        <v>-253599.2</v>
      </c>
      <c r="J12" s="44">
        <f t="shared" si="1"/>
        <v>-1775194.4</v>
      </c>
    </row>
    <row r="13" spans="1:13" x14ac:dyDescent="0.15">
      <c r="A13" s="52"/>
      <c r="B13" s="35" t="s">
        <v>9</v>
      </c>
      <c r="C13" s="43">
        <f>Overheads!B10</f>
        <v>-2108910</v>
      </c>
      <c r="D13" s="43">
        <f>Overheads!C10</f>
        <v>-1265346</v>
      </c>
      <c r="E13" s="43">
        <f>Overheads!D10</f>
        <v>-2530692</v>
      </c>
      <c r="F13" s="43">
        <f>Overheads!E10</f>
        <v>-5061384</v>
      </c>
      <c r="G13" s="43">
        <f>Overheads!F10</f>
        <v>-506138.4</v>
      </c>
      <c r="H13" s="43">
        <f>Overheads!G10</f>
        <v>-1012276.8</v>
      </c>
      <c r="I13" s="43">
        <f>Overheads!H10</f>
        <v>-25306.920000000002</v>
      </c>
      <c r="J13" s="44">
        <f t="shared" si="1"/>
        <v>-12510054.120000001</v>
      </c>
    </row>
    <row r="14" spans="1:13" x14ac:dyDescent="0.15">
      <c r="A14" s="53"/>
      <c r="B14" s="35" t="s">
        <v>24</v>
      </c>
      <c r="C14" s="110">
        <f>'Cost of Sales'!B17</f>
        <v>-6250790.5699999994</v>
      </c>
      <c r="D14" s="110">
        <f>'Cost of Sales'!C17</f>
        <v>-7485790.5699999994</v>
      </c>
      <c r="E14" s="110">
        <f>'Cost of Sales'!D17</f>
        <v>-7590290.5699999994</v>
      </c>
      <c r="F14" s="110">
        <f>'Cost of Sales'!E17</f>
        <v>-7705240.5699999994</v>
      </c>
      <c r="G14" s="110">
        <f>'Cost of Sales'!F17</f>
        <v>-7831685.5700000003</v>
      </c>
      <c r="H14" s="110">
        <f>'Cost of Sales'!G17</f>
        <v>-7970775.0700000003</v>
      </c>
      <c r="I14" s="110">
        <f>'Cost of Sales'!H17</f>
        <v>-8123773.5200000005</v>
      </c>
      <c r="J14" s="44">
        <f t="shared" si="1"/>
        <v>-52958346.439999998</v>
      </c>
    </row>
    <row r="15" spans="1:13" x14ac:dyDescent="0.15">
      <c r="A15" s="192"/>
      <c r="B15" s="35" t="s">
        <v>28</v>
      </c>
      <c r="C15" s="43">
        <f>'FNB LOAN'!B4</f>
        <v>-71327.31</v>
      </c>
      <c r="D15" s="43">
        <f>'FNB LOAN'!C4</f>
        <v>-71327.31</v>
      </c>
      <c r="E15" s="43">
        <f>'FNB LOAN'!D4</f>
        <v>-71327.31</v>
      </c>
      <c r="F15" s="43">
        <f>'FNB LOAN'!E4</f>
        <v>-71327.31</v>
      </c>
      <c r="G15" s="43">
        <f>'FNB LOAN'!F4</f>
        <v>-71327.31</v>
      </c>
      <c r="H15" s="43">
        <f>'FNB LOAN'!G4</f>
        <v>-71327.31</v>
      </c>
      <c r="I15" s="43">
        <f>'FNB LOAN'!H4</f>
        <v>-71327.31</v>
      </c>
      <c r="J15" s="44">
        <f>SUM(C15:I15)</f>
        <v>-499291.17</v>
      </c>
    </row>
    <row r="16" spans="1:13" x14ac:dyDescent="0.15">
      <c r="B16" s="35" t="s">
        <v>29</v>
      </c>
      <c r="C16" s="43">
        <f>Sales!C14+Overheads!B12+'Cost of Sales'!B19+'Salaries &amp; Consultants'!B23</f>
        <v>-3325834.5559285711</v>
      </c>
      <c r="D16" s="43">
        <f>Sales!D14+Overheads!C12+'Cost of Sales'!C19+'Salaries &amp; Consultants'!C23</f>
        <v>-4272158.22</v>
      </c>
      <c r="E16" s="43">
        <f>Sales!E14+Overheads!D12+'Cost of Sales'!D19+'Salaries &amp; Consultants'!D23</f>
        <v>-782356.32</v>
      </c>
      <c r="F16" s="43">
        <f>Sales!F14+Overheads!E12+'Cost of Sales'!E19+'Salaries &amp; Consultants'!E23</f>
        <v>-1521280.62</v>
      </c>
      <c r="G16" s="43">
        <f>Sales!G14+Overheads!F12+'Cost of Sales'!F19+'Salaries &amp; Consultants'!F23</f>
        <v>-3707882.46</v>
      </c>
      <c r="H16" s="43">
        <f>Sales!H14+Overheads!G12+'Cost of Sales'!G19+'Salaries &amp; Consultants'!G23</f>
        <v>-1127803.95</v>
      </c>
      <c r="I16" s="43">
        <f>Sales!I14+Overheads!H12+'Cost of Sales'!H19+'Salaries &amp; Consultants'!H23</f>
        <v>-3770018.8319999999</v>
      </c>
      <c r="J16" s="44">
        <f>SUM(C16:I16)</f>
        <v>-18507334.957928568</v>
      </c>
    </row>
    <row r="17" spans="1:10" ht="15" thickBot="1" x14ac:dyDescent="0.2">
      <c r="B17" s="35" t="s">
        <v>10</v>
      </c>
      <c r="C17" s="43">
        <f>-'Salaries &amp; Consultants'!B23-Overheads!B12-'Cost of Sales'!B19</f>
        <v>-354376.38</v>
      </c>
      <c r="D17" s="43">
        <f>-('Salaries &amp; Consultants'!C23+Overheads!C12)</f>
        <v>-227841.78</v>
      </c>
      <c r="E17" s="43">
        <f>-('Salaries &amp; Consultants'!D23+Overheads!D12)</f>
        <v>-417643.68</v>
      </c>
      <c r="F17" s="43">
        <f>-('Salaries &amp; Consultants'!E23+Overheads!E12)</f>
        <v>-797247.48</v>
      </c>
      <c r="G17" s="43">
        <f>-('Salaries &amp; Consultants'!F23+Overheads!F12)</f>
        <v>-113960.63999999998</v>
      </c>
      <c r="H17" s="43">
        <f>-('Salaries &amp; Consultants'!G23+Overheads!G12)</f>
        <v>-189881.4</v>
      </c>
      <c r="I17" s="43">
        <f>-('Salaries &amp; Consultants'!H23+Overheads!H12)</f>
        <v>-41835.917999999998</v>
      </c>
      <c r="J17" s="44">
        <f t="shared" si="1"/>
        <v>-2142787.2779999999</v>
      </c>
    </row>
    <row r="18" spans="1:10" ht="15" hidden="1" thickBot="1" x14ac:dyDescent="0.2">
      <c r="B18" s="35" t="s">
        <v>11</v>
      </c>
      <c r="C18" s="43"/>
      <c r="D18" s="43"/>
      <c r="E18" s="43"/>
      <c r="F18" s="43"/>
      <c r="G18" s="43"/>
      <c r="H18" s="43"/>
      <c r="I18" s="43"/>
      <c r="J18" s="44">
        <f t="shared" si="1"/>
        <v>0</v>
      </c>
    </row>
    <row r="19" spans="1:10" s="34" customFormat="1" ht="15" thickBot="1" x14ac:dyDescent="0.2">
      <c r="B19" s="48" t="s">
        <v>12</v>
      </c>
      <c r="C19" s="49">
        <f t="shared" ref="C19:I19" si="4">SUM(C11:C18)</f>
        <v>-14707241.215928571</v>
      </c>
      <c r="D19" s="49">
        <f t="shared" si="4"/>
        <v>-15918466.279999999</v>
      </c>
      <c r="E19" s="49">
        <f t="shared" si="4"/>
        <v>-13988312.279999999</v>
      </c>
      <c r="F19" s="49">
        <f t="shared" si="4"/>
        <v>-17752482.379999999</v>
      </c>
      <c r="G19" s="49">
        <f t="shared" si="4"/>
        <v>-14826996.780000001</v>
      </c>
      <c r="H19" s="49">
        <f t="shared" si="4"/>
        <v>-12968066.93</v>
      </c>
      <c r="I19" s="49">
        <f t="shared" si="4"/>
        <v>-14628264.9</v>
      </c>
      <c r="J19" s="50">
        <f t="shared" si="1"/>
        <v>-104789830.76592857</v>
      </c>
    </row>
    <row r="20" spans="1:10" x14ac:dyDescent="0.15">
      <c r="C20" s="43"/>
      <c r="D20" s="43"/>
      <c r="E20" s="43"/>
      <c r="F20" s="43"/>
      <c r="G20" s="43"/>
      <c r="H20" s="43"/>
      <c r="I20" s="43"/>
      <c r="J20" s="44">
        <f t="shared" si="1"/>
        <v>0</v>
      </c>
    </row>
    <row r="21" spans="1:10" x14ac:dyDescent="0.15">
      <c r="B21" s="35" t="s">
        <v>13</v>
      </c>
      <c r="C21" s="38">
        <f t="shared" ref="C21:I21" si="5">C7+C19</f>
        <v>-9372467.1799999997</v>
      </c>
      <c r="D21" s="38">
        <f t="shared" si="5"/>
        <v>-4001303.0227142852</v>
      </c>
      <c r="E21" s="39">
        <f t="shared" si="5"/>
        <v>-2427890.4081428573</v>
      </c>
      <c r="F21" s="39">
        <f t="shared" si="5"/>
        <v>-5633954.2799999993</v>
      </c>
      <c r="G21" s="39">
        <f t="shared" si="5"/>
        <v>-7059468.2800000012</v>
      </c>
      <c r="H21" s="39">
        <f t="shared" si="5"/>
        <v>-4465429.9799999986</v>
      </c>
      <c r="I21" s="39">
        <f t="shared" si="5"/>
        <v>-2294267.0500000007</v>
      </c>
      <c r="J21" s="40">
        <f t="shared" si="1"/>
        <v>-35254780.200857148</v>
      </c>
    </row>
    <row r="22" spans="1:10" x14ac:dyDescent="0.15">
      <c r="C22" s="43"/>
      <c r="D22" s="43"/>
      <c r="E22" s="43"/>
      <c r="F22" s="43"/>
      <c r="G22" s="43"/>
      <c r="H22" s="43"/>
      <c r="I22" s="43"/>
      <c r="J22" s="44">
        <f t="shared" si="1"/>
        <v>0</v>
      </c>
    </row>
    <row r="23" spans="1:10" x14ac:dyDescent="0.15">
      <c r="B23" s="54" t="s">
        <v>45</v>
      </c>
      <c r="C23" s="38">
        <f>C9+C19</f>
        <v>-6804591.1799999997</v>
      </c>
      <c r="D23" s="38">
        <f t="shared" ref="D23:I23" si="6">D9+D19</f>
        <v>-10805894.202714285</v>
      </c>
      <c r="E23" s="39">
        <f t="shared" si="6"/>
        <v>-13233784.610857142</v>
      </c>
      <c r="F23" s="39">
        <f t="shared" si="6"/>
        <v>-18867738.890857141</v>
      </c>
      <c r="G23" s="39">
        <f t="shared" si="6"/>
        <v>-25927207.170857143</v>
      </c>
      <c r="H23" s="39">
        <f t="shared" si="6"/>
        <v>-30392637.150857143</v>
      </c>
      <c r="I23" s="39">
        <f t="shared" si="6"/>
        <v>-32686904.20085714</v>
      </c>
      <c r="J23" s="55"/>
    </row>
    <row r="24" spans="1:10" x14ac:dyDescent="0.15">
      <c r="B24" s="34"/>
      <c r="C24" s="42"/>
      <c r="D24" s="42"/>
      <c r="E24" s="56"/>
      <c r="F24" s="56"/>
      <c r="G24" s="56"/>
      <c r="H24" s="56"/>
      <c r="I24" s="56"/>
      <c r="J24" s="55">
        <f>SUM(C24:I24)</f>
        <v>0</v>
      </c>
    </row>
    <row r="25" spans="1:10" x14ac:dyDescent="0.15">
      <c r="C25" s="41"/>
      <c r="D25" s="41"/>
      <c r="E25" s="41"/>
      <c r="F25" s="41"/>
      <c r="G25" s="41"/>
      <c r="H25" s="41"/>
      <c r="I25" s="41"/>
      <c r="J25" s="57">
        <f>SUM(C25:I25)</f>
        <v>0</v>
      </c>
    </row>
    <row r="26" spans="1:10" ht="15" thickBot="1" x14ac:dyDescent="0.2">
      <c r="A26" s="45" t="s">
        <v>14</v>
      </c>
      <c r="B26" s="41"/>
      <c r="E26" s="41"/>
      <c r="F26" s="41"/>
      <c r="G26" s="41"/>
      <c r="H26" s="41"/>
      <c r="I26" s="41"/>
      <c r="J26" s="58">
        <f>SUM(C26:I26)</f>
        <v>0</v>
      </c>
    </row>
    <row r="28" spans="1:10" x14ac:dyDescent="0.15">
      <c r="A28" s="39" t="s">
        <v>15</v>
      </c>
      <c r="B28" s="35" t="s">
        <v>16</v>
      </c>
      <c r="C28" s="59"/>
      <c r="D28" s="59"/>
      <c r="F28" s="59"/>
    </row>
    <row r="29" spans="1:10" x14ac:dyDescent="0.15">
      <c r="A29" s="60" t="s">
        <v>17</v>
      </c>
      <c r="B29" s="35" t="s">
        <v>18</v>
      </c>
    </row>
  </sheetData>
  <conditionalFormatting sqref="C2:J2 A28">
    <cfRule type="cellIs" dxfId="10" priority="35" operator="greaterThan">
      <formula>0</formula>
    </cfRule>
    <cfRule type="cellIs" dxfId="9" priority="36" operator="lessThan">
      <formula>0</formula>
    </cfRule>
    <cfRule type="cellIs" dxfId="8" priority="37" operator="lessThan">
      <formula>0</formula>
    </cfRule>
    <cfRule type="cellIs" dxfId="7" priority="38" operator="greaterThan">
      <formula>0</formula>
    </cfRule>
  </conditionalFormatting>
  <conditionalFormatting sqref="C21:J21">
    <cfRule type="cellIs" dxfId="6" priority="6" operator="greaterThan">
      <formula>0</formula>
    </cfRule>
    <cfRule type="cellIs" dxfId="5" priority="14" operator="lessThan">
      <formula>0</formula>
    </cfRule>
    <cfRule type="cellIs" dxfId="4" priority="67" operator="lessThan">
      <formula>0</formula>
    </cfRule>
  </conditionalFormatting>
  <conditionalFormatting sqref="C21:J24">
    <cfRule type="cellIs" dxfId="3" priority="13" operator="greaterThan">
      <formula>0</formula>
    </cfRule>
  </conditionalFormatting>
  <conditionalFormatting sqref="C23:J23">
    <cfRule type="cellIs" dxfId="2" priority="5" operator="greaterThan">
      <formula>0</formula>
    </cfRule>
    <cfRule type="cellIs" dxfId="1" priority="11" operator="lessThan">
      <formula>0</formula>
    </cfRule>
  </conditionalFormatting>
  <conditionalFormatting sqref="C23:J24">
    <cfRule type="cellIs" dxfId="0" priority="12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EC3D1-B8BD-4BAF-954C-DD3550CA6FE7}">
  <sheetPr>
    <tabColor rgb="FF00B050"/>
  </sheetPr>
  <dimension ref="A1:Q30"/>
  <sheetViews>
    <sheetView topLeftCell="A3" zoomScaleNormal="100" workbookViewId="0">
      <selection activeCell="B31" sqref="B31"/>
    </sheetView>
  </sheetViews>
  <sheetFormatPr baseColWidth="10" defaultColWidth="9.1640625" defaultRowHeight="11" x14ac:dyDescent="0.15"/>
  <cols>
    <col min="1" max="1" width="20.5" style="1" bestFit="1" customWidth="1"/>
    <col min="2" max="9" width="9.83203125" style="1" bestFit="1" customWidth="1"/>
    <col min="10" max="11" width="9.83203125" style="1" hidden="1" customWidth="1"/>
    <col min="12" max="12" width="9.5" style="1" hidden="1" customWidth="1"/>
    <col min="13" max="13" width="5.5" style="1" hidden="1" customWidth="1"/>
    <col min="14" max="14" width="4.83203125" style="1" hidden="1" customWidth="1"/>
    <col min="15" max="15" width="5.5" style="1" hidden="1" customWidth="1"/>
    <col min="16" max="16" width="11" style="1" bestFit="1" customWidth="1"/>
    <col min="17" max="17" width="9.1640625" style="1"/>
    <col min="18" max="27" width="6.1640625" style="1" bestFit="1" customWidth="1"/>
    <col min="28" max="16384" width="9.1640625" style="1"/>
  </cols>
  <sheetData>
    <row r="1" spans="1:17" ht="12" thickBot="1" x14ac:dyDescent="0.2">
      <c r="A1" s="1" t="s">
        <v>26</v>
      </c>
    </row>
    <row r="2" spans="1:17" ht="12" thickBot="1" x14ac:dyDescent="0.2">
      <c r="A2" s="181" t="s">
        <v>19</v>
      </c>
      <c r="B2" s="184" t="s">
        <v>68</v>
      </c>
      <c r="C2" s="213" t="s">
        <v>60</v>
      </c>
      <c r="D2" s="213"/>
      <c r="E2" s="213"/>
      <c r="F2" s="213"/>
      <c r="G2" s="213"/>
      <c r="H2" s="213"/>
      <c r="I2" s="214"/>
    </row>
    <row r="3" spans="1:17" ht="12" thickBot="1" x14ac:dyDescent="0.2">
      <c r="A3" s="94" t="s">
        <v>23</v>
      </c>
      <c r="B3" s="185">
        <v>45474</v>
      </c>
      <c r="C3" s="112">
        <v>45505</v>
      </c>
      <c r="D3" s="3">
        <v>45536</v>
      </c>
      <c r="E3" s="3">
        <v>45566</v>
      </c>
      <c r="F3" s="3">
        <v>45597</v>
      </c>
      <c r="G3" s="3">
        <v>45627</v>
      </c>
      <c r="H3" s="3">
        <v>45658</v>
      </c>
      <c r="I3" s="3">
        <v>45689</v>
      </c>
      <c r="J3" s="3">
        <v>45717</v>
      </c>
      <c r="K3" s="3">
        <v>45748</v>
      </c>
      <c r="L3" s="3">
        <v>45778</v>
      </c>
      <c r="M3" s="3">
        <v>45809</v>
      </c>
      <c r="N3" s="3">
        <v>45839</v>
      </c>
      <c r="O3" s="3">
        <v>45870</v>
      </c>
      <c r="P3" s="9" t="s">
        <v>0</v>
      </c>
    </row>
    <row r="4" spans="1:17" x14ac:dyDescent="0.15">
      <c r="A4" s="95"/>
      <c r="B4" s="186"/>
      <c r="C4" s="18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10">
        <f>SUM(C4:O4)</f>
        <v>0</v>
      </c>
    </row>
    <row r="5" spans="1:17" x14ac:dyDescent="0.15">
      <c r="A5" s="95" t="s">
        <v>23</v>
      </c>
      <c r="B5" s="187">
        <v>16545631</v>
      </c>
      <c r="C5" s="111">
        <v>24534739.572857141</v>
      </c>
      <c r="D5" s="109">
        <v>30000000</v>
      </c>
      <c r="E5" s="109">
        <v>8000000</v>
      </c>
      <c r="F5" s="109">
        <v>15456854</v>
      </c>
      <c r="G5" s="109">
        <v>25478954</v>
      </c>
      <c r="H5" s="109">
        <v>8784569</v>
      </c>
      <c r="I5" s="109">
        <v>25412365</v>
      </c>
      <c r="J5" s="8"/>
      <c r="K5" s="8"/>
      <c r="L5" s="8"/>
      <c r="M5" s="8"/>
      <c r="N5" s="8"/>
      <c r="O5" s="8"/>
      <c r="P5" s="10">
        <f>SUM(C5:O5)</f>
        <v>137667481.57285714</v>
      </c>
      <c r="Q5" s="86"/>
    </row>
    <row r="6" spans="1:17" x14ac:dyDescent="0.15">
      <c r="A6" s="95"/>
      <c r="B6" s="187"/>
      <c r="C6" s="111"/>
      <c r="D6" s="111"/>
      <c r="E6" s="111"/>
      <c r="F6" s="111"/>
      <c r="G6" s="111"/>
      <c r="H6" s="111"/>
      <c r="I6" s="111"/>
      <c r="J6" s="8"/>
      <c r="K6" s="8"/>
      <c r="L6" s="8"/>
      <c r="M6" s="8"/>
      <c r="N6" s="8"/>
      <c r="O6" s="8"/>
      <c r="P6" s="10"/>
      <c r="Q6" s="86"/>
    </row>
    <row r="7" spans="1:17" x14ac:dyDescent="0.15">
      <c r="A7" s="96"/>
      <c r="B7" s="186"/>
      <c r="C7" s="182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1">
        <f>SUM(C7:O7)</f>
        <v>0</v>
      </c>
      <c r="Q7" s="86"/>
    </row>
    <row r="8" spans="1:17" ht="12" thickBot="1" x14ac:dyDescent="0.2">
      <c r="A8" s="96"/>
      <c r="B8" s="186"/>
      <c r="C8" s="182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0">
        <f>SUM(C8:O8)</f>
        <v>0</v>
      </c>
    </row>
    <row r="9" spans="1:17" ht="11" hidden="1" customHeight="1" thickBot="1" x14ac:dyDescent="0.2">
      <c r="A9" s="96"/>
      <c r="B9" s="186"/>
      <c r="C9" s="182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0">
        <f>SUM(C9:O9)</f>
        <v>0</v>
      </c>
    </row>
    <row r="10" spans="1:17" ht="11" hidden="1" customHeight="1" x14ac:dyDescent="0.15">
      <c r="A10" s="96"/>
      <c r="B10" s="186"/>
      <c r="C10" s="182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0">
        <f>SUM(C10:O10)</f>
        <v>0</v>
      </c>
    </row>
    <row r="11" spans="1:17" ht="12" hidden="1" thickBot="1" x14ac:dyDescent="0.2">
      <c r="A11" s="97"/>
      <c r="B11" s="188"/>
      <c r="C11" s="183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13">
        <f>SUM(C11:O11)</f>
        <v>0</v>
      </c>
    </row>
    <row r="12" spans="1:17" ht="12" thickBot="1" x14ac:dyDescent="0.2">
      <c r="A12" s="92" t="s">
        <v>0</v>
      </c>
      <c r="B12" s="189"/>
      <c r="C12" s="93">
        <f t="shared" ref="C12:P12" si="0">SUM(C4:C8)</f>
        <v>24534739.572857141</v>
      </c>
      <c r="D12" s="93">
        <f t="shared" si="0"/>
        <v>30000000</v>
      </c>
      <c r="E12" s="93">
        <f t="shared" si="0"/>
        <v>8000000</v>
      </c>
      <c r="F12" s="93">
        <f t="shared" si="0"/>
        <v>15456854</v>
      </c>
      <c r="G12" s="93">
        <f t="shared" si="0"/>
        <v>25478954</v>
      </c>
      <c r="H12" s="93">
        <f t="shared" si="0"/>
        <v>8784569</v>
      </c>
      <c r="I12" s="93">
        <f t="shared" si="0"/>
        <v>25412365</v>
      </c>
      <c r="J12" s="93">
        <f t="shared" si="0"/>
        <v>0</v>
      </c>
      <c r="K12" s="93">
        <f t="shared" si="0"/>
        <v>0</v>
      </c>
      <c r="L12" s="93">
        <f t="shared" si="0"/>
        <v>0</v>
      </c>
      <c r="M12" s="93">
        <f t="shared" si="0"/>
        <v>0</v>
      </c>
      <c r="N12" s="93">
        <f t="shared" si="0"/>
        <v>0</v>
      </c>
      <c r="O12" s="93">
        <f t="shared" si="0"/>
        <v>0</v>
      </c>
      <c r="P12" s="91">
        <f t="shared" si="0"/>
        <v>137667481.57285714</v>
      </c>
    </row>
    <row r="13" spans="1:17" x14ac:dyDescent="0.15">
      <c r="B13" s="188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90"/>
    </row>
    <row r="14" spans="1:17" x14ac:dyDescent="0.15">
      <c r="A14" s="7" t="s">
        <v>4</v>
      </c>
      <c r="B14" s="190"/>
      <c r="C14" s="71">
        <f>-C12*0.15</f>
        <v>-3680210.935928571</v>
      </c>
      <c r="D14" s="71">
        <f t="shared" ref="D14:O14" si="1">-D12*0.15</f>
        <v>-4500000</v>
      </c>
      <c r="E14" s="71">
        <f t="shared" si="1"/>
        <v>-1200000</v>
      </c>
      <c r="F14" s="71">
        <f t="shared" si="1"/>
        <v>-2318528.1</v>
      </c>
      <c r="G14" s="71">
        <f t="shared" si="1"/>
        <v>-3821843.0999999996</v>
      </c>
      <c r="H14" s="71">
        <f t="shared" si="1"/>
        <v>-1317685.3499999999</v>
      </c>
      <c r="I14" s="71">
        <f t="shared" si="1"/>
        <v>-3811854.75</v>
      </c>
      <c r="J14" s="71">
        <f t="shared" si="1"/>
        <v>0</v>
      </c>
      <c r="K14" s="71">
        <f t="shared" si="1"/>
        <v>0</v>
      </c>
      <c r="L14" s="71">
        <f t="shared" si="1"/>
        <v>0</v>
      </c>
      <c r="M14" s="71">
        <f t="shared" si="1"/>
        <v>0</v>
      </c>
      <c r="N14" s="71">
        <f t="shared" si="1"/>
        <v>0</v>
      </c>
      <c r="O14" s="71">
        <f t="shared" si="1"/>
        <v>0</v>
      </c>
      <c r="P14" s="71"/>
    </row>
    <row r="15" spans="1:17" ht="12" thickBot="1" x14ac:dyDescent="0.2">
      <c r="B15" s="188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90"/>
    </row>
    <row r="16" spans="1:17" ht="12" thickBot="1" x14ac:dyDescent="0.2">
      <c r="A16" s="181" t="s">
        <v>19</v>
      </c>
      <c r="B16" s="191"/>
    </row>
    <row r="17" spans="1:16" ht="12" thickBot="1" x14ac:dyDescent="0.2">
      <c r="A17" s="94" t="s">
        <v>52</v>
      </c>
      <c r="B17" s="185">
        <v>45474</v>
      </c>
      <c r="C17" s="112">
        <v>45505</v>
      </c>
      <c r="D17" s="3">
        <v>45536</v>
      </c>
      <c r="E17" s="3">
        <v>45566</v>
      </c>
      <c r="F17" s="3">
        <v>45597</v>
      </c>
      <c r="G17" s="3">
        <v>45627</v>
      </c>
      <c r="H17" s="3">
        <v>45658</v>
      </c>
      <c r="I17" s="3">
        <v>45689</v>
      </c>
      <c r="J17" s="3">
        <v>45717</v>
      </c>
      <c r="K17" s="3">
        <v>45748</v>
      </c>
      <c r="L17" s="3">
        <v>45778</v>
      </c>
      <c r="M17" s="3">
        <v>45809</v>
      </c>
      <c r="N17" s="3">
        <v>45839</v>
      </c>
      <c r="O17" s="3">
        <v>45870</v>
      </c>
      <c r="P17" s="9" t="s">
        <v>0</v>
      </c>
    </row>
    <row r="18" spans="1:16" x14ac:dyDescent="0.15">
      <c r="A18" s="95"/>
      <c r="B18" s="186"/>
      <c r="C18" s="182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10">
        <f t="shared" ref="P18:P25" si="2">SUM(C18:O18)</f>
        <v>0</v>
      </c>
    </row>
    <row r="19" spans="1:16" s="7" customFormat="1" x14ac:dyDescent="0.15">
      <c r="A19" s="95" t="s">
        <v>53</v>
      </c>
      <c r="B19" s="187">
        <v>14545631</v>
      </c>
      <c r="C19" s="111">
        <f>B5*$B$28</f>
        <v>1654563.1</v>
      </c>
      <c r="D19" s="109">
        <f t="shared" ref="D19:I19" si="3">C5*$B$28</f>
        <v>2453473.9572857143</v>
      </c>
      <c r="E19" s="109">
        <f t="shared" si="3"/>
        <v>3000000</v>
      </c>
      <c r="F19" s="109">
        <f t="shared" si="3"/>
        <v>800000</v>
      </c>
      <c r="G19" s="109">
        <f t="shared" si="3"/>
        <v>1545685.4000000001</v>
      </c>
      <c r="H19" s="109">
        <f t="shared" si="3"/>
        <v>2547895.4000000004</v>
      </c>
      <c r="I19" s="109">
        <f t="shared" si="3"/>
        <v>878456.9</v>
      </c>
      <c r="J19" s="8"/>
      <c r="K19" s="8"/>
      <c r="L19" s="8"/>
      <c r="M19" s="8"/>
      <c r="N19" s="8"/>
      <c r="O19" s="8"/>
      <c r="P19" s="10">
        <f t="shared" si="2"/>
        <v>12880074.757285716</v>
      </c>
    </row>
    <row r="20" spans="1:16" x14ac:dyDescent="0.15">
      <c r="A20" s="95" t="s">
        <v>54</v>
      </c>
      <c r="B20" s="187"/>
      <c r="C20" s="111"/>
      <c r="D20" s="111">
        <f t="shared" ref="D20:I20" si="4">B5*$B$29</f>
        <v>4963689.3</v>
      </c>
      <c r="E20" s="111">
        <f t="shared" si="4"/>
        <v>7360421.8718571421</v>
      </c>
      <c r="F20" s="111">
        <f t="shared" si="4"/>
        <v>9000000</v>
      </c>
      <c r="G20" s="111">
        <f t="shared" si="4"/>
        <v>2400000</v>
      </c>
      <c r="H20" s="111">
        <f t="shared" si="4"/>
        <v>4637056.2</v>
      </c>
      <c r="I20" s="111">
        <f t="shared" si="4"/>
        <v>7643686.1999999993</v>
      </c>
      <c r="J20" s="8"/>
      <c r="K20" s="8"/>
      <c r="L20" s="8"/>
      <c r="M20" s="8"/>
      <c r="N20" s="8"/>
      <c r="O20" s="8"/>
      <c r="P20" s="10">
        <f t="shared" si="2"/>
        <v>36004853.571857139</v>
      </c>
    </row>
    <row r="21" spans="1:16" x14ac:dyDescent="0.15">
      <c r="A21" s="96" t="s">
        <v>55</v>
      </c>
      <c r="B21" s="186"/>
      <c r="C21" s="182"/>
      <c r="D21" s="8"/>
      <c r="E21" s="8">
        <f>B5*$B$30</f>
        <v>0</v>
      </c>
      <c r="F21" s="8">
        <f>C5*$B$30</f>
        <v>0</v>
      </c>
      <c r="G21" s="8">
        <f>D5*$B$30</f>
        <v>0</v>
      </c>
      <c r="H21" s="8">
        <f>E5*$B$30</f>
        <v>0</v>
      </c>
      <c r="I21" s="8">
        <f>F5*$B$30</f>
        <v>0</v>
      </c>
      <c r="J21" s="8"/>
      <c r="K21" s="8"/>
      <c r="L21" s="8"/>
      <c r="M21" s="8"/>
      <c r="N21" s="8"/>
      <c r="O21" s="8"/>
      <c r="P21" s="10">
        <f t="shared" si="2"/>
        <v>0</v>
      </c>
    </row>
    <row r="22" spans="1:16" x14ac:dyDescent="0.15">
      <c r="A22" s="96"/>
      <c r="B22" s="186"/>
      <c r="C22" s="182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10">
        <f t="shared" si="2"/>
        <v>0</v>
      </c>
    </row>
    <row r="23" spans="1:16" x14ac:dyDescent="0.15">
      <c r="A23" s="96"/>
      <c r="B23" s="186"/>
      <c r="C23" s="182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10">
        <f t="shared" si="2"/>
        <v>0</v>
      </c>
    </row>
    <row r="24" spans="1:16" x14ac:dyDescent="0.15">
      <c r="A24" s="96"/>
      <c r="B24" s="186"/>
      <c r="C24" s="182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10">
        <f t="shared" si="2"/>
        <v>0</v>
      </c>
    </row>
    <row r="25" spans="1:16" ht="12" thickBot="1" x14ac:dyDescent="0.2">
      <c r="A25" s="97"/>
      <c r="B25" s="188"/>
      <c r="C25" s="183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13">
        <f t="shared" si="2"/>
        <v>0</v>
      </c>
    </row>
    <row r="26" spans="1:16" ht="12" thickBot="1" x14ac:dyDescent="0.2">
      <c r="A26" s="92" t="s">
        <v>0</v>
      </c>
      <c r="B26" s="189"/>
      <c r="C26" s="93">
        <f t="shared" ref="C26:P26" si="5">SUM(C18:C22)</f>
        <v>1654563.1</v>
      </c>
      <c r="D26" s="93">
        <f t="shared" si="5"/>
        <v>7417163.2572857141</v>
      </c>
      <c r="E26" s="93">
        <f t="shared" si="5"/>
        <v>10360421.871857142</v>
      </c>
      <c r="F26" s="93">
        <f t="shared" si="5"/>
        <v>9800000</v>
      </c>
      <c r="G26" s="93">
        <f t="shared" si="5"/>
        <v>3945685.4000000004</v>
      </c>
      <c r="H26" s="93">
        <f t="shared" si="5"/>
        <v>7184951.6000000006</v>
      </c>
      <c r="I26" s="93">
        <f t="shared" si="5"/>
        <v>8522143.0999999996</v>
      </c>
      <c r="J26" s="93">
        <f t="shared" si="5"/>
        <v>0</v>
      </c>
      <c r="K26" s="93">
        <f t="shared" si="5"/>
        <v>0</v>
      </c>
      <c r="L26" s="93">
        <f t="shared" si="5"/>
        <v>0</v>
      </c>
      <c r="M26" s="93">
        <f t="shared" si="5"/>
        <v>0</v>
      </c>
      <c r="N26" s="93">
        <f t="shared" si="5"/>
        <v>0</v>
      </c>
      <c r="O26" s="93">
        <f t="shared" si="5"/>
        <v>0</v>
      </c>
      <c r="P26" s="91">
        <f t="shared" si="5"/>
        <v>48884928.329142854</v>
      </c>
    </row>
    <row r="28" spans="1:16" x14ac:dyDescent="0.15">
      <c r="A28" s="1" t="s">
        <v>42</v>
      </c>
      <c r="B28" s="113">
        <v>0.1</v>
      </c>
    </row>
    <row r="29" spans="1:16" x14ac:dyDescent="0.15">
      <c r="A29" s="1" t="s">
        <v>43</v>
      </c>
      <c r="B29" s="113">
        <v>0.3</v>
      </c>
    </row>
    <row r="30" spans="1:16" x14ac:dyDescent="0.15">
      <c r="A30" s="1" t="s">
        <v>44</v>
      </c>
      <c r="B30" s="113">
        <v>0</v>
      </c>
    </row>
  </sheetData>
  <mergeCells count="1">
    <mergeCell ref="C2:I2"/>
  </mergeCells>
  <pageMargins left="0.75" right="0.75" top="1" bottom="1" header="0.5" footer="0.5"/>
  <pageSetup paperSize="9" orientation="landscape" r:id="rId1"/>
  <headerFooter alignWithMargins="0"/>
  <ignoredErrors>
    <ignoredError sqref="C12:I12 P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F7329-D54E-444F-90AF-93480130D502}">
  <sheetPr>
    <tabColor rgb="FF00B050"/>
  </sheetPr>
  <dimension ref="A1:P35"/>
  <sheetViews>
    <sheetView zoomScale="90" zoomScaleNormal="90" workbookViewId="0">
      <selection activeCell="A32" sqref="A32:XFD32"/>
    </sheetView>
  </sheetViews>
  <sheetFormatPr baseColWidth="10" defaultColWidth="9.1640625" defaultRowHeight="11" x14ac:dyDescent="0.15"/>
  <cols>
    <col min="1" max="1" width="35.83203125" style="1" bestFit="1" customWidth="1"/>
    <col min="2" max="3" width="10.83203125" style="1" bestFit="1" customWidth="1"/>
    <col min="4" max="4" width="11.1640625" style="1" bestFit="1" customWidth="1"/>
    <col min="5" max="7" width="10.83203125" style="1" bestFit="1" customWidth="1"/>
    <col min="8" max="8" width="11.1640625" style="1" bestFit="1" customWidth="1"/>
    <col min="9" max="9" width="10.83203125" style="1" hidden="1" customWidth="1"/>
    <col min="10" max="10" width="11.1640625" style="1" hidden="1" customWidth="1"/>
    <col min="11" max="11" width="10.83203125" style="1" hidden="1" customWidth="1"/>
    <col min="12" max="12" width="11.1640625" style="1" hidden="1" customWidth="1"/>
    <col min="13" max="13" width="10.83203125" style="1" hidden="1" customWidth="1"/>
    <col min="14" max="14" width="11.1640625" style="1" hidden="1" customWidth="1"/>
    <col min="15" max="15" width="12" style="1" bestFit="1" customWidth="1"/>
    <col min="16" max="16" width="9.1640625" style="1"/>
    <col min="17" max="26" width="6.1640625" style="1" bestFit="1" customWidth="1"/>
    <col min="27" max="16384" width="9.1640625" style="1"/>
  </cols>
  <sheetData>
    <row r="1" spans="1:16" x14ac:dyDescent="0.15">
      <c r="A1" s="1" t="s">
        <v>26</v>
      </c>
    </row>
    <row r="2" spans="1:16" ht="12" thickBot="1" x14ac:dyDescent="0.2">
      <c r="A2" s="70" t="s">
        <v>19</v>
      </c>
    </row>
    <row r="3" spans="1:16" ht="12" thickBot="1" x14ac:dyDescent="0.2">
      <c r="A3" s="94" t="s">
        <v>23</v>
      </c>
      <c r="B3" s="98">
        <v>45505</v>
      </c>
      <c r="C3" s="3">
        <v>45536</v>
      </c>
      <c r="D3" s="3">
        <v>45566</v>
      </c>
      <c r="E3" s="3">
        <v>45597</v>
      </c>
      <c r="F3" s="3">
        <v>45627</v>
      </c>
      <c r="G3" s="3">
        <v>45658</v>
      </c>
      <c r="H3" s="3">
        <v>45689</v>
      </c>
      <c r="I3" s="3">
        <v>45717</v>
      </c>
      <c r="J3" s="3">
        <v>45748</v>
      </c>
      <c r="K3" s="3">
        <v>45778</v>
      </c>
      <c r="L3" s="3">
        <v>45809</v>
      </c>
      <c r="M3" s="3">
        <v>45839</v>
      </c>
      <c r="N3" s="3">
        <v>45870</v>
      </c>
      <c r="O3" s="9" t="s">
        <v>0</v>
      </c>
    </row>
    <row r="4" spans="1:16" x14ac:dyDescent="0.15">
      <c r="A4" s="95"/>
      <c r="B4" s="99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>
        <f t="shared" ref="O4:O15" si="0">SUM(B4:N4)</f>
        <v>0</v>
      </c>
    </row>
    <row r="5" spans="1:16" x14ac:dyDescent="0.15">
      <c r="A5" s="95"/>
      <c r="B5" s="9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10">
        <f t="shared" si="0"/>
        <v>0</v>
      </c>
      <c r="P5" s="86"/>
    </row>
    <row r="6" spans="1:16" x14ac:dyDescent="0.15">
      <c r="A6" s="96"/>
      <c r="B6" s="99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1">
        <f t="shared" si="0"/>
        <v>0</v>
      </c>
      <c r="P6" s="86"/>
    </row>
    <row r="7" spans="1:16" x14ac:dyDescent="0.15">
      <c r="A7" s="96"/>
      <c r="B7" s="99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10">
        <f t="shared" si="0"/>
        <v>0</v>
      </c>
    </row>
    <row r="8" spans="1:16" x14ac:dyDescent="0.15">
      <c r="A8" s="96"/>
      <c r="B8" s="99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10">
        <f t="shared" si="0"/>
        <v>0</v>
      </c>
      <c r="P8" s="87"/>
    </row>
    <row r="9" spans="1:16" x14ac:dyDescent="0.15">
      <c r="A9" s="96"/>
      <c r="B9" s="99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10">
        <f t="shared" si="0"/>
        <v>0</v>
      </c>
      <c r="P9" s="86"/>
    </row>
    <row r="10" spans="1:16" x14ac:dyDescent="0.15">
      <c r="A10" s="96"/>
      <c r="B10" s="99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10">
        <f t="shared" si="0"/>
        <v>0</v>
      </c>
    </row>
    <row r="11" spans="1:16" x14ac:dyDescent="0.15">
      <c r="A11" s="96"/>
      <c r="B11" s="99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10">
        <f t="shared" si="0"/>
        <v>0</v>
      </c>
    </row>
    <row r="12" spans="1:16" ht="12" thickBot="1" x14ac:dyDescent="0.2">
      <c r="A12" s="96"/>
      <c r="B12" s="99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10">
        <f t="shared" si="0"/>
        <v>0</v>
      </c>
    </row>
    <row r="13" spans="1:16" ht="11" hidden="1" customHeight="1" thickBot="1" x14ac:dyDescent="0.2">
      <c r="A13" s="96"/>
      <c r="B13" s="99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10">
        <f t="shared" si="0"/>
        <v>0</v>
      </c>
    </row>
    <row r="14" spans="1:16" ht="11" hidden="1" customHeight="1" x14ac:dyDescent="0.15">
      <c r="A14" s="96"/>
      <c r="B14" s="99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10">
        <f t="shared" si="0"/>
        <v>0</v>
      </c>
    </row>
    <row r="15" spans="1:16" hidden="1" x14ac:dyDescent="0.15">
      <c r="A15" s="97"/>
      <c r="B15" s="100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13">
        <f t="shared" si="0"/>
        <v>0</v>
      </c>
    </row>
    <row r="16" spans="1:16" ht="12" thickBot="1" x14ac:dyDescent="0.2">
      <c r="A16" s="92" t="s">
        <v>0</v>
      </c>
      <c r="B16" s="101">
        <f>SUM(B4:B12)</f>
        <v>0</v>
      </c>
      <c r="C16" s="93">
        <f t="shared" ref="C16:O16" si="1">SUM(C4:C12)</f>
        <v>0</v>
      </c>
      <c r="D16" s="93">
        <f t="shared" si="1"/>
        <v>0</v>
      </c>
      <c r="E16" s="93">
        <f t="shared" si="1"/>
        <v>0</v>
      </c>
      <c r="F16" s="93">
        <f t="shared" si="1"/>
        <v>0</v>
      </c>
      <c r="G16" s="93">
        <f t="shared" si="1"/>
        <v>0</v>
      </c>
      <c r="H16" s="93">
        <f t="shared" si="1"/>
        <v>0</v>
      </c>
      <c r="I16" s="93">
        <f t="shared" si="1"/>
        <v>0</v>
      </c>
      <c r="J16" s="93">
        <f t="shared" si="1"/>
        <v>0</v>
      </c>
      <c r="K16" s="93">
        <f t="shared" si="1"/>
        <v>0</v>
      </c>
      <c r="L16" s="93">
        <f t="shared" si="1"/>
        <v>0</v>
      </c>
      <c r="M16" s="93">
        <f t="shared" si="1"/>
        <v>0</v>
      </c>
      <c r="N16" s="93">
        <f t="shared" si="1"/>
        <v>0</v>
      </c>
      <c r="O16" s="91">
        <f t="shared" si="1"/>
        <v>0</v>
      </c>
    </row>
    <row r="17" spans="1:16" x14ac:dyDescent="0.15"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90"/>
    </row>
    <row r="18" spans="1:16" ht="12" thickBot="1" x14ac:dyDescent="0.2"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90"/>
    </row>
    <row r="19" spans="1:16" ht="12" thickBot="1" x14ac:dyDescent="0.2">
      <c r="A19" s="2" t="s">
        <v>24</v>
      </c>
      <c r="B19" s="98">
        <v>45505</v>
      </c>
      <c r="C19" s="3">
        <v>45536</v>
      </c>
      <c r="D19" s="3">
        <v>45566</v>
      </c>
      <c r="E19" s="3">
        <v>45597</v>
      </c>
      <c r="F19" s="3">
        <v>45627</v>
      </c>
      <c r="G19" s="3">
        <v>45658</v>
      </c>
      <c r="H19" s="3">
        <v>45689</v>
      </c>
      <c r="I19" s="107"/>
      <c r="J19" s="107"/>
      <c r="K19" s="107"/>
      <c r="L19" s="107"/>
      <c r="M19" s="107"/>
      <c r="N19" s="107"/>
      <c r="O19" s="108" t="s">
        <v>0</v>
      </c>
    </row>
    <row r="20" spans="1:16" x14ac:dyDescent="0.15">
      <c r="A20" s="106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10">
        <f t="shared" ref="O20:O25" si="2">SUM(B20:N20)</f>
        <v>0</v>
      </c>
    </row>
    <row r="21" spans="1:16" x14ac:dyDescent="0.15">
      <c r="A21" s="103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10">
        <f t="shared" si="2"/>
        <v>0</v>
      </c>
    </row>
    <row r="22" spans="1:16" s="4" customFormat="1" x14ac:dyDescent="0.15">
      <c r="A22" s="104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12">
        <f t="shared" si="2"/>
        <v>0</v>
      </c>
    </row>
    <row r="23" spans="1:16" x14ac:dyDescent="0.15">
      <c r="A23" s="105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11">
        <f t="shared" si="2"/>
        <v>0</v>
      </c>
      <c r="P23" s="86"/>
    </row>
    <row r="24" spans="1:16" x14ac:dyDescent="0.15">
      <c r="A24" s="105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10">
        <f t="shared" si="2"/>
        <v>0</v>
      </c>
    </row>
    <row r="25" spans="1:16" ht="12" thickBot="1" x14ac:dyDescent="0.2">
      <c r="A25" s="105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0">
        <f t="shared" si="2"/>
        <v>0</v>
      </c>
    </row>
    <row r="26" spans="1:16" ht="12" thickBot="1" x14ac:dyDescent="0.2">
      <c r="A26" s="92" t="s">
        <v>0</v>
      </c>
      <c r="B26" s="101">
        <f>SUM(B20:B25)</f>
        <v>0</v>
      </c>
      <c r="C26" s="93">
        <f t="shared" ref="C26:O26" si="3">SUM(C20:C25)</f>
        <v>0</v>
      </c>
      <c r="D26" s="93">
        <f t="shared" si="3"/>
        <v>0</v>
      </c>
      <c r="E26" s="93">
        <f t="shared" si="3"/>
        <v>0</v>
      </c>
      <c r="F26" s="93">
        <f t="shared" si="3"/>
        <v>0</v>
      </c>
      <c r="G26" s="93">
        <f t="shared" si="3"/>
        <v>0</v>
      </c>
      <c r="H26" s="93">
        <f t="shared" si="3"/>
        <v>0</v>
      </c>
      <c r="I26" s="93">
        <f t="shared" si="3"/>
        <v>0</v>
      </c>
      <c r="J26" s="93">
        <f t="shared" si="3"/>
        <v>0</v>
      </c>
      <c r="K26" s="93">
        <f t="shared" si="3"/>
        <v>0</v>
      </c>
      <c r="L26" s="93">
        <f t="shared" si="3"/>
        <v>0</v>
      </c>
      <c r="M26" s="93">
        <f t="shared" si="3"/>
        <v>0</v>
      </c>
      <c r="N26" s="93">
        <f t="shared" si="3"/>
        <v>0</v>
      </c>
      <c r="O26" s="108">
        <f t="shared" si="3"/>
        <v>0</v>
      </c>
    </row>
    <row r="27" spans="1:16" ht="12" thickBot="1" x14ac:dyDescent="0.2">
      <c r="A27" s="7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102"/>
    </row>
    <row r="28" spans="1:16" s="7" customFormat="1" ht="12" thickBot="1" x14ac:dyDescent="0.2">
      <c r="A28" s="5" t="s">
        <v>25</v>
      </c>
      <c r="B28" s="80">
        <f>B16+B26</f>
        <v>0</v>
      </c>
      <c r="C28" s="80">
        <f t="shared" ref="C28:O28" si="4">C16+C26</f>
        <v>0</v>
      </c>
      <c r="D28" s="80">
        <f t="shared" si="4"/>
        <v>0</v>
      </c>
      <c r="E28" s="80">
        <f t="shared" si="4"/>
        <v>0</v>
      </c>
      <c r="F28" s="80">
        <f t="shared" si="4"/>
        <v>0</v>
      </c>
      <c r="G28" s="80">
        <f t="shared" si="4"/>
        <v>0</v>
      </c>
      <c r="H28" s="80">
        <f t="shared" si="4"/>
        <v>0</v>
      </c>
      <c r="I28" s="80">
        <f t="shared" si="4"/>
        <v>0</v>
      </c>
      <c r="J28" s="80">
        <f t="shared" si="4"/>
        <v>0</v>
      </c>
      <c r="K28" s="80">
        <f t="shared" si="4"/>
        <v>0</v>
      </c>
      <c r="L28" s="80">
        <f t="shared" si="4"/>
        <v>0</v>
      </c>
      <c r="M28" s="80">
        <f t="shared" si="4"/>
        <v>0</v>
      </c>
      <c r="N28" s="80">
        <f t="shared" si="4"/>
        <v>0</v>
      </c>
      <c r="O28" s="81">
        <f t="shared" si="4"/>
        <v>0</v>
      </c>
    </row>
    <row r="29" spans="1:16" x14ac:dyDescent="0.1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1:16" x14ac:dyDescent="0.15">
      <c r="A30" s="7" t="s">
        <v>4</v>
      </c>
      <c r="B30" s="71">
        <f>-B28*0.15</f>
        <v>0</v>
      </c>
      <c r="C30" s="71">
        <f t="shared" ref="C30:N30" si="5">-C28*0.15</f>
        <v>0</v>
      </c>
      <c r="D30" s="71">
        <f t="shared" si="5"/>
        <v>0</v>
      </c>
      <c r="E30" s="71">
        <f t="shared" si="5"/>
        <v>0</v>
      </c>
      <c r="F30" s="71">
        <f t="shared" si="5"/>
        <v>0</v>
      </c>
      <c r="G30" s="71">
        <f t="shared" si="5"/>
        <v>0</v>
      </c>
      <c r="H30" s="71">
        <f t="shared" si="5"/>
        <v>0</v>
      </c>
      <c r="I30" s="71">
        <f t="shared" si="5"/>
        <v>0</v>
      </c>
      <c r="J30" s="71">
        <f t="shared" si="5"/>
        <v>0</v>
      </c>
      <c r="K30" s="71">
        <f t="shared" si="5"/>
        <v>0</v>
      </c>
      <c r="L30" s="71">
        <f t="shared" si="5"/>
        <v>0</v>
      </c>
      <c r="M30" s="71">
        <f t="shared" si="5"/>
        <v>0</v>
      </c>
      <c r="N30" s="71">
        <f t="shared" si="5"/>
        <v>0</v>
      </c>
      <c r="O30" s="71"/>
    </row>
    <row r="31" spans="1:16" x14ac:dyDescent="0.15"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</row>
    <row r="32" spans="1:16" s="7" customFormat="1" x14ac:dyDescent="0.15"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</row>
    <row r="34" spans="2:14" x14ac:dyDescent="0.15">
      <c r="B34" s="72"/>
      <c r="I34" s="82"/>
      <c r="J34" s="82"/>
      <c r="K34" s="82"/>
      <c r="L34" s="82"/>
      <c r="M34" s="82"/>
      <c r="N34" s="82"/>
    </row>
    <row r="35" spans="2:14" x14ac:dyDescent="0.15">
      <c r="I35" s="82"/>
      <c r="J35" s="82"/>
      <c r="K35" s="82"/>
      <c r="L35" s="82"/>
      <c r="M35" s="82"/>
      <c r="N35" s="82"/>
    </row>
  </sheetData>
  <pageMargins left="0.75" right="0.75" top="1" bottom="1" header="0.5" footer="0.5"/>
  <pageSetup paperSize="9" orientation="landscape" r:id="rId1"/>
  <headerFooter alignWithMargins="0"/>
  <ignoredErrors>
    <ignoredError sqref="B16:H16 B26:H26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B05FB-352B-4BB9-B0C3-D08ACDB086E4}">
  <sheetPr>
    <tabColor theme="9" tint="-0.249977111117893"/>
    <pageSetUpPr fitToPage="1"/>
  </sheetPr>
  <dimension ref="A1:J21"/>
  <sheetViews>
    <sheetView zoomScale="80" zoomScaleNormal="8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32" sqref="F32"/>
    </sheetView>
  </sheetViews>
  <sheetFormatPr baseColWidth="10" defaultColWidth="13" defaultRowHeight="12" x14ac:dyDescent="0.15"/>
  <cols>
    <col min="1" max="1" width="12.5" style="17" bestFit="1" customWidth="1"/>
    <col min="2" max="8" width="12.5" style="32" bestFit="1" customWidth="1"/>
    <col min="9" max="9" width="13.6640625" style="33" bestFit="1" customWidth="1"/>
    <col min="10" max="16384" width="13" style="17"/>
  </cols>
  <sheetData>
    <row r="1" spans="1:10" ht="14" x14ac:dyDescent="0.15">
      <c r="A1" s="14"/>
      <c r="B1" s="15"/>
      <c r="C1" s="15"/>
      <c r="D1" s="15"/>
      <c r="E1" s="15"/>
      <c r="F1" s="15"/>
      <c r="G1" s="15"/>
      <c r="H1" s="15"/>
      <c r="I1" s="16"/>
    </row>
    <row r="2" spans="1:10" ht="14" x14ac:dyDescent="0.15">
      <c r="A2" s="66" t="s">
        <v>22</v>
      </c>
      <c r="B2" s="67">
        <v>45505</v>
      </c>
      <c r="C2" s="67">
        <v>45536</v>
      </c>
      <c r="D2" s="67">
        <v>45566</v>
      </c>
      <c r="E2" s="67">
        <v>45597</v>
      </c>
      <c r="F2" s="67">
        <v>45627</v>
      </c>
      <c r="G2" s="67">
        <v>45658</v>
      </c>
      <c r="H2" s="67">
        <v>45689</v>
      </c>
      <c r="I2" s="66"/>
    </row>
    <row r="3" spans="1:10" ht="14" x14ac:dyDescent="0.15">
      <c r="A3" s="68"/>
      <c r="B3" s="19"/>
      <c r="C3" s="19"/>
      <c r="D3" s="19"/>
      <c r="E3" s="19"/>
      <c r="F3" s="19"/>
      <c r="G3" s="19"/>
      <c r="H3" s="19"/>
      <c r="I3" s="69">
        <f t="shared" ref="I3:I17" si="0">SUM(B3:H3)</f>
        <v>0</v>
      </c>
    </row>
    <row r="4" spans="1:10" ht="14" x14ac:dyDescent="0.15">
      <c r="A4" s="18"/>
      <c r="B4" s="19"/>
      <c r="C4" s="19"/>
      <c r="D4" s="19"/>
      <c r="E4" s="19"/>
      <c r="F4" s="19"/>
      <c r="G4" s="19"/>
      <c r="H4" s="19"/>
      <c r="I4" s="21">
        <f t="shared" si="0"/>
        <v>0</v>
      </c>
      <c r="J4" s="88"/>
    </row>
    <row r="5" spans="1:10" ht="14" x14ac:dyDescent="0.15">
      <c r="A5" s="18" t="s">
        <v>31</v>
      </c>
      <c r="B5" s="19">
        <v>-555000</v>
      </c>
      <c r="C5" s="19">
        <v>-555000</v>
      </c>
      <c r="D5" s="19">
        <v>-555000</v>
      </c>
      <c r="E5" s="19">
        <v>-555000</v>
      </c>
      <c r="F5" s="19">
        <v>-555000</v>
      </c>
      <c r="G5" s="19">
        <v>-555000</v>
      </c>
      <c r="H5" s="19">
        <v>-555000</v>
      </c>
      <c r="I5" s="21">
        <f t="shared" si="0"/>
        <v>-3885000</v>
      </c>
    </row>
    <row r="6" spans="1:10" ht="14" x14ac:dyDescent="0.15">
      <c r="A6" s="18" t="s">
        <v>32</v>
      </c>
      <c r="B6" s="19">
        <v>-358000</v>
      </c>
      <c r="C6" s="19">
        <v>-358000</v>
      </c>
      <c r="D6" s="19">
        <v>-358000</v>
      </c>
      <c r="E6" s="19">
        <v>-358000</v>
      </c>
      <c r="F6" s="19">
        <v>-358000</v>
      </c>
      <c r="G6" s="19">
        <v>-358000</v>
      </c>
      <c r="H6" s="19">
        <v>-358000</v>
      </c>
      <c r="I6" s="21">
        <f t="shared" si="0"/>
        <v>-2506000</v>
      </c>
    </row>
    <row r="7" spans="1:10" ht="14" x14ac:dyDescent="0.15">
      <c r="A7" s="18" t="s">
        <v>33</v>
      </c>
      <c r="B7" s="19">
        <v>-150216.26999999999</v>
      </c>
      <c r="C7" s="19">
        <v>-150216.26999999999</v>
      </c>
      <c r="D7" s="19">
        <v>-150216.26999999999</v>
      </c>
      <c r="E7" s="19">
        <v>-150216.26999999999</v>
      </c>
      <c r="F7" s="19">
        <v>-150216.26999999999</v>
      </c>
      <c r="G7" s="19">
        <v>-150216.26999999999</v>
      </c>
      <c r="H7" s="19">
        <v>-150216.26999999999</v>
      </c>
      <c r="I7" s="21">
        <f t="shared" si="0"/>
        <v>-1051513.8899999999</v>
      </c>
    </row>
    <row r="8" spans="1:10" ht="14" x14ac:dyDescent="0.15">
      <c r="A8" s="18" t="s">
        <v>34</v>
      </c>
      <c r="B8" s="19">
        <v>-120000</v>
      </c>
      <c r="C8" s="19">
        <v>-1200000</v>
      </c>
      <c r="D8" s="19">
        <v>-1200000</v>
      </c>
      <c r="E8" s="19">
        <v>-1200000</v>
      </c>
      <c r="F8" s="19">
        <v>-1200000</v>
      </c>
      <c r="G8" s="19">
        <v>-1200000</v>
      </c>
      <c r="H8" s="19">
        <v>-1200000</v>
      </c>
      <c r="I8" s="21">
        <f t="shared" si="0"/>
        <v>-7320000</v>
      </c>
    </row>
    <row r="9" spans="1:10" ht="14" x14ac:dyDescent="0.15">
      <c r="A9" s="18" t="s">
        <v>35</v>
      </c>
      <c r="B9" s="19">
        <v>-950000</v>
      </c>
      <c r="C9" s="19">
        <v>-950000</v>
      </c>
      <c r="D9" s="19">
        <v>-950000</v>
      </c>
      <c r="E9" s="19">
        <v>-950000</v>
      </c>
      <c r="F9" s="19">
        <v>-950000</v>
      </c>
      <c r="G9" s="19">
        <v>-950000</v>
      </c>
      <c r="H9" s="19">
        <v>-950000</v>
      </c>
      <c r="I9" s="21">
        <f t="shared" si="0"/>
        <v>-6650000</v>
      </c>
    </row>
    <row r="10" spans="1:10" ht="14" x14ac:dyDescent="0.15">
      <c r="A10" s="18" t="s">
        <v>36</v>
      </c>
      <c r="B10" s="19">
        <v>-950000</v>
      </c>
      <c r="C10" s="19">
        <v>-950000</v>
      </c>
      <c r="D10" s="19">
        <v>-950000</v>
      </c>
      <c r="E10" s="19">
        <v>-950000</v>
      </c>
      <c r="F10" s="19">
        <v>-950000</v>
      </c>
      <c r="G10" s="19">
        <v>-950000</v>
      </c>
      <c r="H10" s="19">
        <v>-950000</v>
      </c>
      <c r="I10" s="21">
        <f t="shared" si="0"/>
        <v>-6650000</v>
      </c>
    </row>
    <row r="11" spans="1:10" ht="14" x14ac:dyDescent="0.15">
      <c r="A11" s="18" t="s">
        <v>37</v>
      </c>
      <c r="B11" s="19">
        <v>-950000</v>
      </c>
      <c r="C11" s="19">
        <v>-950000</v>
      </c>
      <c r="D11" s="19">
        <v>-950000</v>
      </c>
      <c r="E11" s="19">
        <v>-950000</v>
      </c>
      <c r="F11" s="19">
        <v>-950000</v>
      </c>
      <c r="G11" s="19">
        <v>-950000</v>
      </c>
      <c r="H11" s="19">
        <v>-950000</v>
      </c>
      <c r="I11" s="21">
        <f t="shared" si="0"/>
        <v>-6650000</v>
      </c>
    </row>
    <row r="12" spans="1:10" ht="14" x14ac:dyDescent="0.15">
      <c r="A12" s="18" t="s">
        <v>38</v>
      </c>
      <c r="B12" s="19">
        <v>-350000</v>
      </c>
      <c r="C12" s="19">
        <v>-350000</v>
      </c>
      <c r="D12" s="19">
        <v>-350000</v>
      </c>
      <c r="E12" s="19">
        <v>-350000</v>
      </c>
      <c r="F12" s="19">
        <v>-350000</v>
      </c>
      <c r="G12" s="19">
        <v>-350000</v>
      </c>
      <c r="H12" s="19">
        <v>-350000</v>
      </c>
      <c r="I12" s="21">
        <f t="shared" si="0"/>
        <v>-2450000</v>
      </c>
    </row>
    <row r="13" spans="1:10" ht="14" x14ac:dyDescent="0.15">
      <c r="A13" s="18" t="s">
        <v>39</v>
      </c>
      <c r="B13" s="19">
        <v>-950000</v>
      </c>
      <c r="C13" s="19">
        <f>-950000*1.1</f>
        <v>-1045000.0000000001</v>
      </c>
      <c r="D13" s="19">
        <f>C13*1.1</f>
        <v>-1149500.0000000002</v>
      </c>
      <c r="E13" s="19">
        <f>D13*1.1</f>
        <v>-1264450.0000000005</v>
      </c>
      <c r="F13" s="19">
        <f>E13*1.1</f>
        <v>-1390895.0000000007</v>
      </c>
      <c r="G13" s="19">
        <f>F13*1.1</f>
        <v>-1529984.5000000009</v>
      </c>
      <c r="H13" s="19">
        <f>G13*1.1</f>
        <v>-1682982.9500000011</v>
      </c>
      <c r="I13" s="21">
        <f t="shared" si="0"/>
        <v>-9012812.450000003</v>
      </c>
    </row>
    <row r="14" spans="1:10" ht="14" x14ac:dyDescent="0.15">
      <c r="A14" s="18" t="s">
        <v>40</v>
      </c>
      <c r="B14" s="19">
        <v>-177574.3</v>
      </c>
      <c r="C14" s="19">
        <v>-177574.3</v>
      </c>
      <c r="D14" s="19">
        <v>-177574.3</v>
      </c>
      <c r="E14" s="19">
        <v>-177574.3</v>
      </c>
      <c r="F14" s="19">
        <v>-177574.3</v>
      </c>
      <c r="G14" s="19">
        <v>-177574.3</v>
      </c>
      <c r="H14" s="19">
        <v>-177574.3</v>
      </c>
      <c r="I14" s="21">
        <f t="shared" si="0"/>
        <v>-1243020.1000000001</v>
      </c>
    </row>
    <row r="15" spans="1:10" ht="14" x14ac:dyDescent="0.15">
      <c r="A15" s="18" t="s">
        <v>41</v>
      </c>
      <c r="B15" s="19">
        <v>-140000</v>
      </c>
      <c r="C15" s="19">
        <v>-140000</v>
      </c>
      <c r="D15" s="19">
        <v>-140000</v>
      </c>
      <c r="E15" s="19">
        <v>-140000</v>
      </c>
      <c r="F15" s="19">
        <v>-140000</v>
      </c>
      <c r="G15" s="19">
        <v>-140000</v>
      </c>
      <c r="H15" s="19">
        <v>-140000</v>
      </c>
      <c r="I15" s="21">
        <f t="shared" si="0"/>
        <v>-980000</v>
      </c>
    </row>
    <row r="16" spans="1:10" ht="15" thickBot="1" x14ac:dyDescent="0.2">
      <c r="A16" s="18" t="s">
        <v>51</v>
      </c>
      <c r="B16" s="19">
        <v>-600000</v>
      </c>
      <c r="C16" s="19">
        <f t="shared" ref="C16:H16" si="1">-600000*1.1</f>
        <v>-660000</v>
      </c>
      <c r="D16" s="19">
        <f t="shared" si="1"/>
        <v>-660000</v>
      </c>
      <c r="E16" s="19">
        <f t="shared" si="1"/>
        <v>-660000</v>
      </c>
      <c r="F16" s="19">
        <f t="shared" si="1"/>
        <v>-660000</v>
      </c>
      <c r="G16" s="19">
        <f t="shared" si="1"/>
        <v>-660000</v>
      </c>
      <c r="H16" s="19">
        <f t="shared" si="1"/>
        <v>-660000</v>
      </c>
      <c r="I16" s="21">
        <f t="shared" si="0"/>
        <v>-4560000</v>
      </c>
    </row>
    <row r="17" spans="1:9" ht="15" thickBot="1" x14ac:dyDescent="0.2">
      <c r="A17" s="61" t="s">
        <v>0</v>
      </c>
      <c r="B17" s="62">
        <f t="shared" ref="B17:H17" si="2">SUM(B3:B16)</f>
        <v>-6250790.5699999994</v>
      </c>
      <c r="C17" s="62">
        <f t="shared" si="2"/>
        <v>-7485790.5699999994</v>
      </c>
      <c r="D17" s="62">
        <f t="shared" si="2"/>
        <v>-7590290.5699999994</v>
      </c>
      <c r="E17" s="62">
        <f t="shared" si="2"/>
        <v>-7705240.5699999994</v>
      </c>
      <c r="F17" s="62">
        <f t="shared" si="2"/>
        <v>-7831685.5700000003</v>
      </c>
      <c r="G17" s="62">
        <f t="shared" si="2"/>
        <v>-7970775.0700000003</v>
      </c>
      <c r="H17" s="62">
        <f t="shared" si="2"/>
        <v>-8123773.5200000005</v>
      </c>
      <c r="I17" s="63">
        <f t="shared" si="0"/>
        <v>-52958346.439999998</v>
      </c>
    </row>
    <row r="20" spans="1:9" x14ac:dyDescent="0.15">
      <c r="B20" s="64"/>
      <c r="C20" s="64"/>
      <c r="D20" s="64"/>
      <c r="E20" s="64"/>
      <c r="F20" s="64"/>
      <c r="G20" s="64"/>
      <c r="H20" s="78"/>
      <c r="I20" s="65"/>
    </row>
    <row r="21" spans="1:9" ht="14" x14ac:dyDescent="0.15">
      <c r="B21" s="30"/>
      <c r="C21" s="64"/>
      <c r="D21" s="30"/>
      <c r="E21" s="64"/>
      <c r="F21" s="30"/>
      <c r="G21" s="64"/>
      <c r="H21" s="75"/>
      <c r="I21" s="65"/>
    </row>
  </sheetData>
  <phoneticPr fontId="25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65" orientation="landscape"/>
  <ignoredErrors>
    <ignoredError sqref="B17:H17 I3:I1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704B1-CA7A-4FB6-8A51-1BC7B81D6CA8}">
  <sheetPr>
    <tabColor rgb="FFFFC000"/>
    <pageSetUpPr fitToPage="1"/>
  </sheetPr>
  <dimension ref="A1:I25"/>
  <sheetViews>
    <sheetView zoomScale="80" zoomScaleNormal="80" zoomScaleSheetLayoutView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28" sqref="B28"/>
    </sheetView>
  </sheetViews>
  <sheetFormatPr baseColWidth="10" defaultColWidth="9.1640625" defaultRowHeight="12" x14ac:dyDescent="0.15"/>
  <cols>
    <col min="1" max="1" width="27.6640625" style="17" bestFit="1" customWidth="1"/>
    <col min="2" max="8" width="14.6640625" style="32" bestFit="1" customWidth="1"/>
    <col min="9" max="9" width="16.5" style="33" bestFit="1" customWidth="1"/>
    <col min="10" max="10" width="84" style="17" bestFit="1" customWidth="1"/>
    <col min="11" max="11" width="9.1640625" style="17"/>
    <col min="12" max="12" width="14.33203125" style="17" bestFit="1" customWidth="1"/>
    <col min="13" max="14" width="12.83203125" style="17" bestFit="1" customWidth="1"/>
    <col min="15" max="16384" width="9.1640625" style="17"/>
  </cols>
  <sheetData>
    <row r="1" spans="1:9" ht="14" x14ac:dyDescent="0.15">
      <c r="A1" s="14"/>
      <c r="B1" s="15"/>
      <c r="C1" s="15"/>
      <c r="D1" s="15"/>
      <c r="E1" s="15"/>
      <c r="F1" s="15"/>
      <c r="G1" s="15"/>
      <c r="H1" s="15"/>
      <c r="I1" s="16"/>
    </row>
    <row r="2" spans="1:9" ht="14" x14ac:dyDescent="0.15">
      <c r="A2" s="66" t="s">
        <v>1</v>
      </c>
      <c r="B2" s="67">
        <v>45505</v>
      </c>
      <c r="C2" s="67">
        <v>45536</v>
      </c>
      <c r="D2" s="67">
        <v>45566</v>
      </c>
      <c r="E2" s="67">
        <v>45597</v>
      </c>
      <c r="F2" s="67">
        <v>45627</v>
      </c>
      <c r="G2" s="67">
        <v>45658</v>
      </c>
      <c r="H2" s="67">
        <v>45689</v>
      </c>
      <c r="I2" s="66" t="s">
        <v>0</v>
      </c>
    </row>
    <row r="3" spans="1:9" ht="14" x14ac:dyDescent="0.15">
      <c r="A3" s="18"/>
      <c r="B3" s="20"/>
      <c r="C3" s="20"/>
      <c r="D3" s="19"/>
      <c r="E3" s="26"/>
      <c r="F3" s="19"/>
      <c r="G3" s="19"/>
      <c r="H3" s="19"/>
      <c r="I3" s="21">
        <f>SUM(B3:H3)</f>
        <v>0</v>
      </c>
    </row>
    <row r="4" spans="1:9" ht="15" thickBot="1" x14ac:dyDescent="0.2">
      <c r="A4" s="18" t="s">
        <v>30</v>
      </c>
      <c r="B4" s="20">
        <f>-234240.32*10</f>
        <v>-2342403.2000000002</v>
      </c>
      <c r="C4" s="20">
        <f t="shared" ref="C4:H4" si="0">-234240.32*10</f>
        <v>-2342403.2000000002</v>
      </c>
      <c r="D4" s="20">
        <f t="shared" si="0"/>
        <v>-2342403.2000000002</v>
      </c>
      <c r="E4" s="20">
        <f t="shared" si="0"/>
        <v>-2342403.2000000002</v>
      </c>
      <c r="F4" s="20">
        <f t="shared" si="0"/>
        <v>-2342403.2000000002</v>
      </c>
      <c r="G4" s="20">
        <f t="shared" si="0"/>
        <v>-2342403.2000000002</v>
      </c>
      <c r="H4" s="20">
        <f t="shared" si="0"/>
        <v>-2342403.2000000002</v>
      </c>
      <c r="I4" s="21">
        <f>SUM(B4:H4)</f>
        <v>-16396822.399999999</v>
      </c>
    </row>
    <row r="5" spans="1:9" ht="15" thickBot="1" x14ac:dyDescent="0.2">
      <c r="A5" s="22" t="s">
        <v>0</v>
      </c>
      <c r="B5" s="23">
        <f t="shared" ref="B5:H5" si="1">SUM(B3:B4)</f>
        <v>-2342403.2000000002</v>
      </c>
      <c r="C5" s="23">
        <f t="shared" si="1"/>
        <v>-2342403.2000000002</v>
      </c>
      <c r="D5" s="23">
        <f t="shared" si="1"/>
        <v>-2342403.2000000002</v>
      </c>
      <c r="E5" s="23">
        <f t="shared" si="1"/>
        <v>-2342403.2000000002</v>
      </c>
      <c r="F5" s="23">
        <f t="shared" si="1"/>
        <v>-2342403.2000000002</v>
      </c>
      <c r="G5" s="23">
        <f t="shared" si="1"/>
        <v>-2342403.2000000002</v>
      </c>
      <c r="H5" s="23">
        <f t="shared" si="1"/>
        <v>-2342403.2000000002</v>
      </c>
      <c r="I5" s="24">
        <f>SUM(B5:H5)</f>
        <v>-16396822.399999999</v>
      </c>
    </row>
    <row r="6" spans="1:9" ht="15" thickBot="1" x14ac:dyDescent="0.2">
      <c r="A6" s="25"/>
      <c r="B6" s="26"/>
      <c r="C6" s="26"/>
      <c r="D6" s="26"/>
      <c r="E6" s="26"/>
      <c r="F6" s="26"/>
      <c r="G6" s="26"/>
      <c r="H6" s="26"/>
      <c r="I6" s="27"/>
    </row>
    <row r="7" spans="1:9" ht="14" x14ac:dyDescent="0.15">
      <c r="A7" s="66" t="s">
        <v>20</v>
      </c>
      <c r="B7" s="67">
        <v>44958</v>
      </c>
      <c r="C7" s="67">
        <v>44986</v>
      </c>
      <c r="D7" s="67">
        <v>45017</v>
      </c>
      <c r="E7" s="67">
        <v>45047</v>
      </c>
      <c r="F7" s="67">
        <v>45078</v>
      </c>
      <c r="G7" s="67">
        <v>45108</v>
      </c>
      <c r="H7" s="67">
        <v>45139</v>
      </c>
      <c r="I7" s="66"/>
    </row>
    <row r="8" spans="1:9" ht="14" x14ac:dyDescent="0.15">
      <c r="A8" s="84"/>
      <c r="B8" s="85"/>
      <c r="C8" s="85"/>
      <c r="D8" s="85"/>
      <c r="E8" s="85"/>
      <c r="F8" s="85"/>
      <c r="G8" s="85"/>
      <c r="H8" s="85"/>
      <c r="I8" s="21">
        <f>SUM(B8:H8)</f>
        <v>0</v>
      </c>
    </row>
    <row r="9" spans="1:9" ht="14" x14ac:dyDescent="0.15">
      <c r="A9" s="84"/>
      <c r="B9" s="85"/>
      <c r="C9" s="85"/>
      <c r="D9" s="85"/>
      <c r="E9" s="85"/>
      <c r="F9" s="85"/>
      <c r="G9" s="85"/>
      <c r="H9" s="85"/>
      <c r="I9" s="21">
        <f>SUM(B9:H9)</f>
        <v>0</v>
      </c>
    </row>
    <row r="10" spans="1:9" ht="15" thickBot="1" x14ac:dyDescent="0.2">
      <c r="A10" s="84"/>
      <c r="B10" s="85"/>
      <c r="C10" s="85"/>
      <c r="D10" s="85"/>
      <c r="E10" s="85"/>
      <c r="F10" s="85"/>
      <c r="G10" s="85"/>
      <c r="H10" s="85"/>
      <c r="I10" s="21">
        <f>SUM(B10:H10)</f>
        <v>0</v>
      </c>
    </row>
    <row r="11" spans="1:9" s="28" customFormat="1" ht="15" thickBot="1" x14ac:dyDescent="0.2">
      <c r="A11" s="22" t="s">
        <v>0</v>
      </c>
      <c r="B11" s="23">
        <f t="shared" ref="B11:H11" si="2">SUM(B8:B10)</f>
        <v>0</v>
      </c>
      <c r="C11" s="23">
        <f t="shared" si="2"/>
        <v>0</v>
      </c>
      <c r="D11" s="23">
        <f t="shared" si="2"/>
        <v>0</v>
      </c>
      <c r="E11" s="23">
        <f t="shared" si="2"/>
        <v>0</v>
      </c>
      <c r="F11" s="23">
        <f t="shared" si="2"/>
        <v>0</v>
      </c>
      <c r="G11" s="23">
        <f t="shared" si="2"/>
        <v>0</v>
      </c>
      <c r="H11" s="23">
        <f t="shared" si="2"/>
        <v>0</v>
      </c>
      <c r="I11" s="24">
        <f>SUM(B11:H11)</f>
        <v>0</v>
      </c>
    </row>
    <row r="12" spans="1:9" ht="14" x14ac:dyDescent="0.15">
      <c r="A12" s="25"/>
      <c r="B12" s="26"/>
      <c r="C12" s="26"/>
      <c r="D12" s="26"/>
      <c r="E12" s="26"/>
      <c r="F12" s="26"/>
      <c r="G12" s="26"/>
      <c r="H12" s="26"/>
      <c r="I12" s="83"/>
    </row>
    <row r="14" spans="1:9" ht="14" x14ac:dyDescent="0.15">
      <c r="A14" s="66" t="s">
        <v>21</v>
      </c>
      <c r="B14" s="67">
        <v>44958</v>
      </c>
      <c r="C14" s="67">
        <v>44986</v>
      </c>
      <c r="D14" s="67">
        <v>45017</v>
      </c>
      <c r="E14" s="67">
        <v>45047</v>
      </c>
      <c r="F14" s="67">
        <v>45078</v>
      </c>
      <c r="G14" s="67">
        <v>45108</v>
      </c>
      <c r="H14" s="67">
        <v>45139</v>
      </c>
      <c r="I14" s="66"/>
    </row>
    <row r="15" spans="1:9" ht="14" x14ac:dyDescent="0.15">
      <c r="A15" s="18"/>
      <c r="B15" s="19"/>
      <c r="C15" s="19"/>
      <c r="D15" s="19"/>
      <c r="E15" s="19"/>
      <c r="F15" s="19"/>
      <c r="G15" s="19"/>
      <c r="H15" s="19"/>
      <c r="I15" s="21">
        <f>SUM(B15:H15)</f>
        <v>0</v>
      </c>
    </row>
    <row r="16" spans="1:9" ht="14" x14ac:dyDescent="0.15">
      <c r="A16" s="18" t="s">
        <v>27</v>
      </c>
      <c r="B16" s="19">
        <v>-253599.2</v>
      </c>
      <c r="C16" s="19">
        <v>-253599.2</v>
      </c>
      <c r="D16" s="19">
        <v>-253599.2</v>
      </c>
      <c r="E16" s="19">
        <v>-253599.2</v>
      </c>
      <c r="F16" s="19">
        <v>-253599.2</v>
      </c>
      <c r="G16" s="19">
        <v>-253599.2</v>
      </c>
      <c r="H16" s="19">
        <v>-253599.2</v>
      </c>
      <c r="I16" s="21">
        <f>SUM(B16:H16)</f>
        <v>-1775194.4</v>
      </c>
    </row>
    <row r="17" spans="1:9" ht="14" x14ac:dyDescent="0.15">
      <c r="A17" s="18"/>
      <c r="B17" s="19"/>
      <c r="C17" s="19"/>
      <c r="D17" s="19"/>
      <c r="E17" s="19"/>
      <c r="F17" s="19"/>
      <c r="G17" s="19"/>
      <c r="H17" s="19"/>
      <c r="I17" s="21">
        <f>SUM(B17:H17)</f>
        <v>0</v>
      </c>
    </row>
    <row r="18" spans="1:9" ht="14" x14ac:dyDescent="0.15">
      <c r="A18" s="18"/>
      <c r="B18" s="19"/>
      <c r="C18" s="19"/>
      <c r="D18" s="19"/>
      <c r="E18" s="19"/>
      <c r="F18" s="19"/>
      <c r="G18" s="19"/>
      <c r="H18" s="19"/>
      <c r="I18" s="21">
        <f>SUM(B18:H18)</f>
        <v>0</v>
      </c>
    </row>
    <row r="19" spans="1:9" ht="14" x14ac:dyDescent="0.15">
      <c r="A19" s="18"/>
      <c r="B19" s="19"/>
      <c r="C19" s="19"/>
      <c r="D19" s="19"/>
      <c r="E19" s="19"/>
      <c r="F19" s="19"/>
      <c r="G19" s="19"/>
      <c r="H19" s="19"/>
      <c r="I19" s="21"/>
    </row>
    <row r="20" spans="1:9" ht="15" thickBot="1" x14ac:dyDescent="0.2">
      <c r="A20" s="18"/>
      <c r="B20" s="19"/>
      <c r="C20" s="19"/>
      <c r="D20" s="19"/>
      <c r="E20" s="19"/>
      <c r="F20" s="19"/>
      <c r="G20" s="19"/>
      <c r="H20" s="19"/>
      <c r="I20" s="21">
        <f>SUM(B20:H20)</f>
        <v>0</v>
      </c>
    </row>
    <row r="21" spans="1:9" s="28" customFormat="1" ht="15" thickBot="1" x14ac:dyDescent="0.2">
      <c r="A21" s="22" t="s">
        <v>0</v>
      </c>
      <c r="B21" s="23">
        <f t="shared" ref="B21:H21" si="3">SUM(B15:B20)</f>
        <v>-253599.2</v>
      </c>
      <c r="C21" s="23">
        <f t="shared" si="3"/>
        <v>-253599.2</v>
      </c>
      <c r="D21" s="23">
        <f t="shared" si="3"/>
        <v>-253599.2</v>
      </c>
      <c r="E21" s="23">
        <f t="shared" si="3"/>
        <v>-253599.2</v>
      </c>
      <c r="F21" s="23">
        <f t="shared" si="3"/>
        <v>-253599.2</v>
      </c>
      <c r="G21" s="23">
        <f t="shared" si="3"/>
        <v>-253599.2</v>
      </c>
      <c r="H21" s="23">
        <f t="shared" si="3"/>
        <v>-253599.2</v>
      </c>
      <c r="I21" s="24">
        <f>SUM(B21:H21)</f>
        <v>-1775194.4</v>
      </c>
    </row>
    <row r="23" spans="1:9" s="29" customFormat="1" ht="14" x14ac:dyDescent="0.15">
      <c r="A23" s="29" t="s">
        <v>10</v>
      </c>
      <c r="B23" s="30">
        <f t="shared" ref="B23:H23" si="4">-B21*0.15</f>
        <v>38039.879999999997</v>
      </c>
      <c r="C23" s="30">
        <f t="shared" si="4"/>
        <v>38039.879999999997</v>
      </c>
      <c r="D23" s="30">
        <f t="shared" si="4"/>
        <v>38039.879999999997</v>
      </c>
      <c r="E23" s="30">
        <f t="shared" si="4"/>
        <v>38039.879999999997</v>
      </c>
      <c r="F23" s="30">
        <f t="shared" si="4"/>
        <v>38039.879999999997</v>
      </c>
      <c r="G23" s="30">
        <f t="shared" si="4"/>
        <v>38039.879999999997</v>
      </c>
      <c r="H23" s="30">
        <f t="shared" si="4"/>
        <v>38039.879999999997</v>
      </c>
      <c r="I23" s="31"/>
    </row>
    <row r="25" spans="1:9" s="74" customFormat="1" ht="14" x14ac:dyDescent="0.15">
      <c r="B25" s="75"/>
      <c r="C25" s="76"/>
      <c r="D25" s="75"/>
      <c r="E25" s="76"/>
      <c r="F25" s="76"/>
      <c r="G25" s="76"/>
      <c r="H25" s="75"/>
      <c r="I25" s="77"/>
    </row>
  </sheetData>
  <printOptions horizontalCentered="1"/>
  <pageMargins left="0.31496062992125984" right="0.31496062992125984" top="0.35433070866141736" bottom="0.35433070866141736" header="0.31496062992125984" footer="0.31496062992125984"/>
  <pageSetup paperSize="9" scale="49" orientation="landscape" r:id="rId1"/>
  <ignoredErrors>
    <ignoredError sqref="B5 B21:H21 C5:G5 B11:H1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CEC27-A639-4D13-9DF4-E0BC2E262949}">
  <sheetPr>
    <tabColor rgb="FF0070C0"/>
    <pageSetUpPr fitToPage="1"/>
  </sheetPr>
  <dimension ref="A1:I14"/>
  <sheetViews>
    <sheetView zoomScale="76" zoomScaleNormal="10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5" sqref="A5"/>
    </sheetView>
  </sheetViews>
  <sheetFormatPr baseColWidth="10" defaultColWidth="9.1640625" defaultRowHeight="12" x14ac:dyDescent="0.15"/>
  <cols>
    <col min="1" max="1" width="43.83203125" style="17" bestFit="1" customWidth="1"/>
    <col min="2" max="4" width="12.6640625" style="32" bestFit="1" customWidth="1"/>
    <col min="5" max="5" width="14.1640625" style="32" bestFit="1" customWidth="1"/>
    <col min="6" max="7" width="12.6640625" style="32" bestFit="1" customWidth="1"/>
    <col min="8" max="8" width="9.83203125" style="32" bestFit="1" customWidth="1"/>
    <col min="9" max="9" width="14.1640625" style="33" bestFit="1" customWidth="1"/>
    <col min="10" max="16384" width="9.1640625" style="17"/>
  </cols>
  <sheetData>
    <row r="1" spans="1:9" ht="14" x14ac:dyDescent="0.15">
      <c r="A1" s="14"/>
      <c r="B1" s="15"/>
      <c r="C1" s="15"/>
      <c r="D1" s="15"/>
      <c r="E1" s="15"/>
      <c r="F1" s="15"/>
      <c r="G1" s="15"/>
      <c r="H1" s="15"/>
      <c r="I1" s="16"/>
    </row>
    <row r="2" spans="1:9" ht="14" x14ac:dyDescent="0.15">
      <c r="A2" s="66" t="s">
        <v>9</v>
      </c>
      <c r="B2" s="67">
        <v>45505</v>
      </c>
      <c r="C2" s="67">
        <v>45536</v>
      </c>
      <c r="D2" s="67">
        <v>45566</v>
      </c>
      <c r="E2" s="67">
        <v>45597</v>
      </c>
      <c r="F2" s="67">
        <v>45627</v>
      </c>
      <c r="G2" s="67">
        <v>45658</v>
      </c>
      <c r="H2" s="67">
        <v>45689</v>
      </c>
      <c r="I2" s="66" t="s">
        <v>0</v>
      </c>
    </row>
    <row r="3" spans="1:9" ht="14" x14ac:dyDescent="0.15">
      <c r="A3" s="18"/>
      <c r="B3" s="19"/>
      <c r="C3" s="19"/>
      <c r="D3" s="19"/>
      <c r="E3" s="19"/>
      <c r="F3" s="19"/>
      <c r="G3" s="19"/>
      <c r="H3" s="19"/>
      <c r="I3" s="21">
        <f t="shared" ref="I3:I10" si="0">SUM(B3:H3)</f>
        <v>0</v>
      </c>
    </row>
    <row r="4" spans="1:9" ht="14" x14ac:dyDescent="0.15">
      <c r="A4" s="18" t="s">
        <v>71</v>
      </c>
      <c r="B4" s="19">
        <v>-451655</v>
      </c>
      <c r="C4" s="19">
        <f>B4*0.6</f>
        <v>-270993</v>
      </c>
      <c r="D4" s="19">
        <f t="shared" ref="D4:E7" si="1">C4*2</f>
        <v>-541986</v>
      </c>
      <c r="E4" s="19">
        <f t="shared" si="1"/>
        <v>-1083972</v>
      </c>
      <c r="F4" s="19">
        <f>E4*0.1</f>
        <v>-108397.20000000001</v>
      </c>
      <c r="G4" s="19">
        <f>F4*2</f>
        <v>-216794.40000000002</v>
      </c>
      <c r="H4" s="19">
        <f>G4*0.025</f>
        <v>-5419.8600000000006</v>
      </c>
      <c r="I4" s="21">
        <f t="shared" si="0"/>
        <v>-2679217.46</v>
      </c>
    </row>
    <row r="5" spans="1:9" ht="14" x14ac:dyDescent="0.15">
      <c r="A5" s="18" t="s">
        <v>46</v>
      </c>
      <c r="B5" s="19">
        <v>-154654</v>
      </c>
      <c r="C5" s="19">
        <f>B5*0.6</f>
        <v>-92792.4</v>
      </c>
      <c r="D5" s="19">
        <f t="shared" si="1"/>
        <v>-185584.8</v>
      </c>
      <c r="E5" s="19">
        <f t="shared" si="1"/>
        <v>-371169.6</v>
      </c>
      <c r="F5" s="19">
        <f>E5*0.1</f>
        <v>-37116.959999999999</v>
      </c>
      <c r="G5" s="19">
        <f>F5*2</f>
        <v>-74233.919999999998</v>
      </c>
      <c r="H5" s="19">
        <f>G5*0.025</f>
        <v>-1855.848</v>
      </c>
      <c r="I5" s="21">
        <f t="shared" si="0"/>
        <v>-917407.52799999993</v>
      </c>
    </row>
    <row r="6" spans="1:9" ht="14" x14ac:dyDescent="0.15">
      <c r="A6" s="18" t="s">
        <v>47</v>
      </c>
      <c r="B6" s="19">
        <v>-875465</v>
      </c>
      <c r="C6" s="19">
        <f>B6*0.6</f>
        <v>-525279</v>
      </c>
      <c r="D6" s="19">
        <f t="shared" si="1"/>
        <v>-1050558</v>
      </c>
      <c r="E6" s="19">
        <f t="shared" si="1"/>
        <v>-2101116</v>
      </c>
      <c r="F6" s="19">
        <f>E6*0.1</f>
        <v>-210111.6</v>
      </c>
      <c r="G6" s="19">
        <f>F6*2</f>
        <v>-420223.2</v>
      </c>
      <c r="H6" s="19">
        <f>G6*0.025</f>
        <v>-10505.580000000002</v>
      </c>
      <c r="I6" s="21">
        <f t="shared" si="0"/>
        <v>-5193258.38</v>
      </c>
    </row>
    <row r="7" spans="1:9" ht="14" x14ac:dyDescent="0.15">
      <c r="A7" s="18" t="s">
        <v>48</v>
      </c>
      <c r="B7" s="19">
        <v>-45641</v>
      </c>
      <c r="C7" s="19">
        <f>B7*0.6</f>
        <v>-27384.6</v>
      </c>
      <c r="D7" s="19">
        <f t="shared" si="1"/>
        <v>-54769.2</v>
      </c>
      <c r="E7" s="19">
        <f t="shared" si="1"/>
        <v>-109538.4</v>
      </c>
      <c r="F7" s="19">
        <f>E7*0.1</f>
        <v>-10953.84</v>
      </c>
      <c r="G7" s="19">
        <f>F7*2</f>
        <v>-21907.68</v>
      </c>
      <c r="H7" s="19">
        <f>G7*0.025</f>
        <v>-547.69200000000001</v>
      </c>
      <c r="I7" s="21">
        <f t="shared" si="0"/>
        <v>-270742.41200000001</v>
      </c>
    </row>
    <row r="8" spans="1:9" ht="14" x14ac:dyDescent="0.15">
      <c r="A8" s="18" t="s">
        <v>49</v>
      </c>
      <c r="B8" s="19">
        <v>-31651</v>
      </c>
      <c r="C8" s="19">
        <v>-18990.599999999999</v>
      </c>
      <c r="D8" s="19">
        <v>-37981.199999999997</v>
      </c>
      <c r="E8" s="19">
        <v>-75962.399999999994</v>
      </c>
      <c r="F8" s="19">
        <v>-7596.24</v>
      </c>
      <c r="G8" s="19">
        <v>-15192.48</v>
      </c>
      <c r="H8" s="19">
        <v>-379.81200000000001</v>
      </c>
      <c r="I8" s="21">
        <f t="shared" si="0"/>
        <v>-187753.73199999999</v>
      </c>
    </row>
    <row r="9" spans="1:9" ht="15" thickBot="1" x14ac:dyDescent="0.2">
      <c r="A9" s="18" t="s">
        <v>50</v>
      </c>
      <c r="B9" s="19">
        <v>-549844</v>
      </c>
      <c r="C9" s="19">
        <v>-329906.39999999997</v>
      </c>
      <c r="D9" s="19">
        <v>-659812.79999999993</v>
      </c>
      <c r="E9" s="19">
        <v>-1319625.5999999999</v>
      </c>
      <c r="F9" s="19">
        <v>-131962.56</v>
      </c>
      <c r="G9" s="19">
        <v>-263925.12</v>
      </c>
      <c r="H9" s="19">
        <v>-6598.1280000000006</v>
      </c>
      <c r="I9" s="21">
        <f t="shared" si="0"/>
        <v>-3261674.608</v>
      </c>
    </row>
    <row r="10" spans="1:9" ht="15" thickBot="1" x14ac:dyDescent="0.2">
      <c r="A10" s="22" t="s">
        <v>0</v>
      </c>
      <c r="B10" s="23">
        <f t="shared" ref="B10:H10" si="2">SUM(B3:B9)</f>
        <v>-2108910</v>
      </c>
      <c r="C10" s="23">
        <f t="shared" si="2"/>
        <v>-1265346</v>
      </c>
      <c r="D10" s="23">
        <f t="shared" si="2"/>
        <v>-2530692</v>
      </c>
      <c r="E10" s="23">
        <f t="shared" si="2"/>
        <v>-5061384</v>
      </c>
      <c r="F10" s="23">
        <f t="shared" si="2"/>
        <v>-506138.4</v>
      </c>
      <c r="G10" s="23">
        <f t="shared" si="2"/>
        <v>-1012276.8</v>
      </c>
      <c r="H10" s="23">
        <f t="shared" si="2"/>
        <v>-25306.920000000002</v>
      </c>
      <c r="I10" s="24">
        <f t="shared" si="0"/>
        <v>-12510054.120000001</v>
      </c>
    </row>
    <row r="12" spans="1:9" s="29" customFormat="1" ht="14" x14ac:dyDescent="0.15">
      <c r="A12" s="29" t="s">
        <v>10</v>
      </c>
      <c r="B12" s="30">
        <f t="shared" ref="B12:H12" si="3">-B10*0.15</f>
        <v>316336.5</v>
      </c>
      <c r="C12" s="30">
        <f t="shared" si="3"/>
        <v>189801.9</v>
      </c>
      <c r="D12" s="30">
        <f t="shared" si="3"/>
        <v>379603.8</v>
      </c>
      <c r="E12" s="30">
        <f t="shared" si="3"/>
        <v>759207.6</v>
      </c>
      <c r="F12" s="30">
        <f t="shared" si="3"/>
        <v>75920.759999999995</v>
      </c>
      <c r="G12" s="30">
        <f t="shared" si="3"/>
        <v>151841.51999999999</v>
      </c>
      <c r="H12" s="30">
        <f t="shared" si="3"/>
        <v>3796.038</v>
      </c>
      <c r="I12" s="31"/>
    </row>
    <row r="14" spans="1:9" s="74" customFormat="1" ht="14" x14ac:dyDescent="0.15">
      <c r="B14" s="75"/>
      <c r="C14" s="76"/>
      <c r="D14" s="75"/>
      <c r="E14" s="76"/>
      <c r="F14" s="75"/>
      <c r="G14" s="76"/>
      <c r="H14" s="75"/>
      <c r="I14" s="77"/>
    </row>
  </sheetData>
  <printOptions horizontalCentered="1"/>
  <pageMargins left="0.31496062992125984" right="0.31496062992125984" top="0.35433070866141736" bottom="0.35433070866141736" header="0.31496062992125984" footer="0.31496062992125984"/>
  <pageSetup paperSize="9" scale="65" orientation="landscape"/>
  <ignoredErrors>
    <ignoredError sqref="B10:H10" formulaRange="1"/>
    <ignoredError sqref="F4:F7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D2204-D1E9-4426-B0D8-D8255F19055B}">
  <sheetPr>
    <tabColor rgb="FFFF0000"/>
    <pageSetUpPr fitToPage="1"/>
  </sheetPr>
  <dimension ref="A1:I9"/>
  <sheetViews>
    <sheetView zoomScale="76" zoomScaleNormal="10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15" sqref="D15"/>
    </sheetView>
  </sheetViews>
  <sheetFormatPr baseColWidth="10" defaultColWidth="9.1640625" defaultRowHeight="12" x14ac:dyDescent="0.15"/>
  <cols>
    <col min="1" max="1" width="12.5" style="17" bestFit="1" customWidth="1"/>
    <col min="2" max="8" width="9.83203125" style="32" bestFit="1" customWidth="1"/>
    <col min="9" max="9" width="11" style="33" bestFit="1" customWidth="1"/>
    <col min="10" max="16384" width="9.1640625" style="17"/>
  </cols>
  <sheetData>
    <row r="1" spans="1:9" ht="14" x14ac:dyDescent="0.15">
      <c r="A1" s="14"/>
      <c r="B1" s="15"/>
      <c r="C1" s="15"/>
      <c r="D1" s="15"/>
      <c r="E1" s="15"/>
      <c r="F1" s="15"/>
      <c r="G1" s="15"/>
      <c r="H1" s="15"/>
      <c r="I1" s="16"/>
    </row>
    <row r="2" spans="1:9" ht="14" x14ac:dyDescent="0.15">
      <c r="A2" s="66" t="s">
        <v>28</v>
      </c>
      <c r="B2" s="67">
        <v>45505</v>
      </c>
      <c r="C2" s="67">
        <v>45536</v>
      </c>
      <c r="D2" s="67">
        <v>45566</v>
      </c>
      <c r="E2" s="67">
        <v>45597</v>
      </c>
      <c r="F2" s="67">
        <v>45627</v>
      </c>
      <c r="G2" s="67">
        <v>45658</v>
      </c>
      <c r="H2" s="67">
        <v>45689</v>
      </c>
      <c r="I2" s="66" t="s">
        <v>0</v>
      </c>
    </row>
    <row r="3" spans="1:9" ht="14" x14ac:dyDescent="0.15">
      <c r="A3" s="18"/>
      <c r="B3" s="19"/>
      <c r="C3" s="19"/>
      <c r="D3" s="19"/>
      <c r="E3" s="19"/>
      <c r="F3" s="19"/>
      <c r="G3" s="19"/>
      <c r="H3" s="19"/>
      <c r="I3" s="21">
        <f>SUM(B3:H3)</f>
        <v>0</v>
      </c>
    </row>
    <row r="4" spans="1:9" ht="14" x14ac:dyDescent="0.15">
      <c r="A4" s="18" t="s">
        <v>28</v>
      </c>
      <c r="B4" s="19">
        <v>-71327.31</v>
      </c>
      <c r="C4" s="19">
        <v>-71327.31</v>
      </c>
      <c r="D4" s="19">
        <v>-71327.31</v>
      </c>
      <c r="E4" s="19">
        <v>-71327.31</v>
      </c>
      <c r="F4" s="19">
        <v>-71327.31</v>
      </c>
      <c r="G4" s="19">
        <v>-71327.31</v>
      </c>
      <c r="H4" s="19">
        <v>-71327.31</v>
      </c>
      <c r="I4" s="21">
        <f>SUM(B4:H4)</f>
        <v>-499291.17</v>
      </c>
    </row>
    <row r="5" spans="1:9" ht="15" thickBot="1" x14ac:dyDescent="0.2">
      <c r="A5" s="18"/>
      <c r="B5" s="19"/>
      <c r="C5" s="19"/>
      <c r="D5" s="19"/>
      <c r="E5" s="19"/>
      <c r="F5" s="19"/>
      <c r="G5" s="19"/>
      <c r="H5" s="19"/>
      <c r="I5" s="21">
        <f>SUM(B5:H5)</f>
        <v>0</v>
      </c>
    </row>
    <row r="6" spans="1:9" ht="15" thickBot="1" x14ac:dyDescent="0.2">
      <c r="A6" s="22" t="s">
        <v>0</v>
      </c>
      <c r="B6" s="23">
        <f t="shared" ref="B6:H6" si="0">SUM(B3:B5)</f>
        <v>-71327.31</v>
      </c>
      <c r="C6" s="23">
        <f t="shared" si="0"/>
        <v>-71327.31</v>
      </c>
      <c r="D6" s="23">
        <f t="shared" si="0"/>
        <v>-71327.31</v>
      </c>
      <c r="E6" s="23">
        <f t="shared" si="0"/>
        <v>-71327.31</v>
      </c>
      <c r="F6" s="23">
        <f t="shared" si="0"/>
        <v>-71327.31</v>
      </c>
      <c r="G6" s="23">
        <f t="shared" si="0"/>
        <v>-71327.31</v>
      </c>
      <c r="H6" s="23">
        <f t="shared" si="0"/>
        <v>-71327.31</v>
      </c>
      <c r="I6" s="24">
        <f>SUM(B6:H6)</f>
        <v>-499291.17</v>
      </c>
    </row>
    <row r="9" spans="1:9" s="74" customFormat="1" ht="14" x14ac:dyDescent="0.15">
      <c r="B9" s="75"/>
      <c r="C9" s="76"/>
      <c r="D9" s="75"/>
      <c r="E9" s="76"/>
      <c r="F9" s="75"/>
      <c r="G9" s="76"/>
      <c r="H9" s="75"/>
      <c r="I9" s="77"/>
    </row>
  </sheetData>
  <printOptions horizontalCentered="1"/>
  <pageMargins left="0.31496062992125984" right="0.31496062992125984" top="0.35433070866141736" bottom="0.35433070866141736" header="0.31496062992125984" footer="0.31496062992125984"/>
  <pageSetup paperSize="9" scale="65" orientation="landscape"/>
  <ignoredErrors>
    <ignoredError sqref="B6:H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797C96CFDBC49BE1B537B6E02963E" ma:contentTypeVersion="6" ma:contentTypeDescription="Create a new document." ma:contentTypeScope="" ma:versionID="0efe3e1ea235eef77beff1744ffbab13">
  <xsd:schema xmlns:xsd="http://www.w3.org/2001/XMLSchema" xmlns:xs="http://www.w3.org/2001/XMLSchema" xmlns:p="http://schemas.microsoft.com/office/2006/metadata/properties" xmlns:ns2="10e9eedf-2602-40fc-a52b-5a02d0ef483b" xmlns:ns3="8ba555b2-0435-4597-bd67-b703d528ae9b" targetNamespace="http://schemas.microsoft.com/office/2006/metadata/properties" ma:root="true" ma:fieldsID="f450f8afd8912cf48b0bc592ab04333d" ns2:_="" ns3:_="">
    <xsd:import namespace="10e9eedf-2602-40fc-a52b-5a02d0ef483b"/>
    <xsd:import namespace="8ba555b2-0435-4597-bd67-b703d528ae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e9eedf-2602-40fc-a52b-5a02d0ef48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555b2-0435-4597-bd67-b703d528ae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F1B79A-136E-4B71-B68C-611587266581}">
  <ds:schemaRefs>
    <ds:schemaRef ds:uri="http://schemas.microsoft.com/office/infopath/2007/PartnerControls"/>
    <ds:schemaRef ds:uri="http://www.w3.org/XML/1998/namespace"/>
    <ds:schemaRef ds:uri="http://purl.org/dc/terms/"/>
    <ds:schemaRef ds:uri="8ba555b2-0435-4597-bd67-b703d528ae9b"/>
    <ds:schemaRef ds:uri="http://schemas.microsoft.com/office/2006/metadata/properties"/>
    <ds:schemaRef ds:uri="http://schemas.microsoft.com/office/2006/documentManagement/types"/>
    <ds:schemaRef ds:uri="10e9eedf-2602-40fc-a52b-5a02d0ef483b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E410A08-D24E-468D-94B3-21C7E5F53E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e9eedf-2602-40fc-a52b-5a02d0ef483b"/>
    <ds:schemaRef ds:uri="8ba555b2-0435-4597-bd67-b703d528ae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7C66AB-2BBD-472F-882A-957F9ECBF9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Forecast</vt:lpstr>
      <vt:lpstr>Cash Flow</vt:lpstr>
      <vt:lpstr>Sales</vt:lpstr>
      <vt:lpstr>Gross Profit</vt:lpstr>
      <vt:lpstr>Cost of Sales</vt:lpstr>
      <vt:lpstr>Salaries &amp; Consultants</vt:lpstr>
      <vt:lpstr>Overheads</vt:lpstr>
      <vt:lpstr>FNB LOAN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Franco Labuschagne</dc:creator>
  <cp:keywords/>
  <dc:description/>
  <cp:lastModifiedBy>Joseph Mbedzi</cp:lastModifiedBy>
  <cp:revision/>
  <dcterms:created xsi:type="dcterms:W3CDTF">2016-11-10T11:02:44Z</dcterms:created>
  <dcterms:modified xsi:type="dcterms:W3CDTF">2025-02-04T08:36:11Z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0x010100C67797C96CFDBC49BE1B537B6E02963E</vt:lpwstr>
  </property>
  <property fmtid="{D5CDD505-2E9C-101B-9397-08002B2CF9AE}" pid="3" name="MediaServiceImageTags">
    <vt:lpwstr/>
  </property>
</Properties>
</file>